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3080" windowHeight="4476" tabRatio="743"/>
  </bookViews>
  <sheets>
    <sheet name="Summary" sheetId="5" r:id="rId1"/>
    <sheet name="Vessel" sheetId="37" r:id="rId2"/>
    <sheet name="Voyage" sheetId="6" r:id="rId3"/>
    <sheet name="Waste" sheetId="1" r:id="rId4"/>
    <sheet name="Incoming Hazmat" sheetId="33" r:id="rId5"/>
    <sheet name="Outgoing Hazmat" sheetId="35" r:id="rId6"/>
    <sheet name="Security" sheetId="3" r:id="rId7"/>
    <sheet name="Notes" sheetId="31" r:id="rId8"/>
    <sheet name="Reporting Requirements" sheetId="34" r:id="rId9"/>
    <sheet name="Tmp data" sheetId="38" state="hidden" r:id="rId10"/>
    <sheet name="Reference data" sheetId="26" state="hidden" r:id="rId11"/>
    <sheet name="Validator" sheetId="39" state="hidden" r:id="rId12"/>
  </sheets>
  <definedNames>
    <definedName name="_xlnm._FilterDatabase" localSheetId="4" hidden="1">'Incoming Hazmat'!$C$12:$AE$263</definedName>
    <definedName name="_xlnm._FilterDatabase" localSheetId="5" hidden="1">'Outgoing Hazmat'!$C$12:$Y$263</definedName>
    <definedName name="_xlnm._FilterDatabase" localSheetId="10" hidden="1">'Reference data'!#REF!</definedName>
    <definedName name="Activity" localSheetId="4">'Reference data'!$AJ$2:$AJ$16</definedName>
    <definedName name="Activity" localSheetId="5">'Reference data'!$AJ$2:$AJ$16</definedName>
    <definedName name="BOOLEAN" localSheetId="4">'Reference data'!$AF$2:$AF$3</definedName>
    <definedName name="BOOLEAN" localSheetId="5">'Reference data'!$AF$2:$AF$3</definedName>
    <definedName name="Cargo_associated_waste" localSheetId="4">'Reference data'!$AC$2:$AC$4</definedName>
    <definedName name="Cargo_associated_waste" localSheetId="5">'Reference data'!$AC$2:$AC$4</definedName>
    <definedName name="Cargo_associated_waste">'Reference data'!$AC$2:$AC$4</definedName>
    <definedName name="Cargo_residues" localSheetId="4">'Reference data'!$AD$2:$AD$14</definedName>
    <definedName name="Cargo_residues" localSheetId="5">'Reference data'!$AD$2:$AD$14</definedName>
    <definedName name="Cargo_residues">'Reference data'!$AD$2:$AD$14</definedName>
    <definedName name="Garbage">'Reference data'!$AA$2:$AA$16</definedName>
    <definedName name="Hazmat_types">'Reference data'!$Q$2:$Q$3</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C_VALID">Summary!$E$23</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4">'Incoming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MARPOL_codes">'Reference data'!$L$2:$L$6</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C_VALID">Summary!$E$24</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4">'Outgoing Hazmat'!$W$9</definedName>
    <definedName name="OHZ_LOCODE_LOOKUP" localSheetId="5">'Outgoing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data'!$K$2:$K$139</definedName>
    <definedName name="Package_type_name">'Reference data'!$J$2:$J$139</definedName>
    <definedName name="_xlnm.Print_Area" localSheetId="4">'Incoming Hazmat'!$B$2:$AG$263</definedName>
    <definedName name="_xlnm.Print_Area" localSheetId="7">Notes!$B$2:$I$37</definedName>
    <definedName name="_xlnm.Print_Area" localSheetId="5">'Outgoing Hazmat'!$A$2:$AG$263</definedName>
    <definedName name="_xlnm.Print_Area" localSheetId="8">'Reporting Requirements'!$B$2:$Q$47</definedName>
    <definedName name="_xlnm.Print_Area" localSheetId="6">Security!$A$2:$Z$63</definedName>
    <definedName name="_xlnm.Print_Area" localSheetId="0">Summary!$B$2:$L$116</definedName>
    <definedName name="_xlnm.Print_Area" localSheetId="1">Vessel!$B$2:$I$33</definedName>
    <definedName name="_xlnm.Print_Area" localSheetId="2">Voyage!$B$2:$J$38</definedName>
    <definedName name="_xlnm.Print_Area" localSheetId="3">Waste!$B$2:$X$58</definedName>
    <definedName name="REF_ACTIVITY">'Reference data'!$AJ$2:$AJ$16</definedName>
    <definedName name="REF_COUNTRIES" localSheetId="5">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PACKING_GROUP">'Reference data'!$I$2:$I$5</definedName>
    <definedName name="REF_PURPOSES">'Reference data'!$A$2:$A$27</definedName>
    <definedName name="REF_SECURITYLEVELS_OPTIONS">'Reference data'!$E$2:$E$4</definedName>
    <definedName name="REF_UK_LOCODES">'Reference data'!$AQ$2:$AQ$338</definedName>
    <definedName name="REF_UK_LOCODES_PORTNAMES">'Reference data'!$AQ$2:$AR$328</definedName>
    <definedName name="REF_UK_PORTNAMES">'Reference data'!$AR$3:$AR$338</definedName>
    <definedName name="REF_UNITS">'Reference data'!$T$2:$T$4</definedName>
    <definedName name="REF_YES_NO">'Reference data'!$F$2:$F$3</definedName>
    <definedName name="SEC_AGENT_EMAIL">Security!$M$16</definedName>
    <definedName name="SEC_AGENT_FAX">Security!$M$15</definedName>
    <definedName name="SEC_AGENT_NAME">Security!$M$13</definedName>
    <definedName name="SEC_AGENT_PHONE">Security!$M$14</definedName>
    <definedName name="SEC_AVD_LASTUKVISIT">Security!$E$28</definedName>
    <definedName name="SEC_AVD_REPSHIPLOC">Security!$B$30</definedName>
    <definedName name="SEC_CAR_BRIEFCARGO">Security!$R$16</definedName>
    <definedName name="SEC_CSO_EMAIL">Security!$M$10</definedName>
    <definedName name="SEC_CSO_FAX">Security!$M$9</definedName>
    <definedName name="SEC_CSO_FIRSTNAME">Security!$M$6</definedName>
    <definedName name="SEC_CSO_LASTNAME">Security!$M$7</definedName>
    <definedName name="SEC_CSO_PHONE">Security!$M$8</definedName>
    <definedName name="SEC_CURRENTSEC">Security!$U$8</definedName>
    <definedName name="SEC_DEC_VALID">Summary!$E$25</definedName>
    <definedName name="SEC_DOC_KEY">Security!$C$64</definedName>
    <definedName name="SEC_EMPTY_RES">Validator!$A$3</definedName>
    <definedName name="SEC_ISSC_EXPIRY">Security!$M$26</definedName>
    <definedName name="SEC_ISSC_ISSUER">Security!$M$24</definedName>
    <definedName name="SEC_ISSC_ISSUERTYPE">Security!$M$23</definedName>
    <definedName name="SEC_ISSC_ISVALID">Security!$M$27</definedName>
    <definedName name="SEC_ISSC_NUMBER">Security!$M$22</definedName>
    <definedName name="SEC_ISSC_REASON">Security!$J$29</definedName>
    <definedName name="SEC_ISSC_TYPE">Security!$M$21</definedName>
    <definedName name="SEC_LAST_COUNTRY">Security!$E$36:$E$45</definedName>
    <definedName name="SEC_LAST_DATEOFARRI">Security!$C$36:$C$45</definedName>
    <definedName name="SEC_LAST_DATEOFDEPT">Security!$D$36:$D$45</definedName>
    <definedName name="SEC_LAST_FACNAME">Security!$F$36:$G$45</definedName>
    <definedName name="SEC_LAST_MEASURESYORN">Security!$P$36:$R$45</definedName>
    <definedName name="SEC_LAST_PORT">Security!$H$36:$I$45</definedName>
    <definedName name="SEC_LAST_PORTCALLNO">Security!$B$36:$B$45</definedName>
    <definedName name="SEC_LAST_PORTFAC">Security!$J$36:$K$45</definedName>
    <definedName name="SEC_LAST_SECLEVEL">Security!$N$36:$O$45</definedName>
    <definedName name="SEC_LAST_SECMEASURE">Security!$S$36:$U$45</definedName>
    <definedName name="SEC_LOC_LOCATION">Security!$B$28</definedName>
    <definedName name="SEC_LOCODE_LOOKUP">Security!$X$9</definedName>
    <definedName name="SEC_PAS_CREWLIST">Security!$U$14</definedName>
    <definedName name="SEC_PAS_PASSENGERS">Security!$U$13</definedName>
    <definedName name="SEC_PASSCREWTA">Security!$R$13:$U$14</definedName>
    <definedName name="SEC_PASSENGERCREWLIST">Security!$R$13:$U$14</definedName>
    <definedName name="SEC_PURPOSE">Security!$R$29</definedName>
    <definedName name="SEC_REG_REGCOMPIMO">Security!$E$24</definedName>
    <definedName name="SEC_REG_REGCOMPNAM">Security!$E$23</definedName>
    <definedName name="SEC_REG_REGDATE">Security!$E$21</definedName>
    <definedName name="SEC_REG_REGNUMBER">Security!$E$22</definedName>
    <definedName name="SEC_RELATEDMAT">Security!$R$21</definedName>
    <definedName name="SEC_RSM_DESC">Security!$R$23</definedName>
    <definedName name="SEC_RSM_RSM">Security!$U$21</definedName>
    <definedName name="SEC_SECURITYPL">Security!$U$9</definedName>
    <definedName name="SEC_SHIP_ACTIVITY">Security!$K$50:$M$59</definedName>
    <definedName name="SEC_SHIP_DATEFROM">Security!$C$50:$C$59</definedName>
    <definedName name="SEC_SHIP_DATETO">Security!$D$50:$D$59</definedName>
    <definedName name="SEC_SHIP_LATITUDE">Security!$E$50:$E$59</definedName>
    <definedName name="SEC_SHIP_LOCATION">Security!$G$50:$J$59</definedName>
    <definedName name="SEC_SHIP_LONGITUDE">Security!$F$50:$F$59</definedName>
    <definedName name="SEC_SHIP_MEASURESYORN">Security!$N$50:$P$59</definedName>
    <definedName name="SEC_SHIP_SECURITYME">Security!$Q$50:$U$59</definedName>
    <definedName name="SEC_SHIP_SHIPNO">Security!$B$50:$B$59</definedName>
    <definedName name="SEC_SRC_SOURCE">Security!$U$6</definedName>
    <definedName name="SEC_SRC_UPDATED">Security!$U$7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Summary!$L$21</definedName>
    <definedName name="SUM_DOC_UPDATEDNAME">Summary!$L$22</definedName>
    <definedName name="SUM_DOC_VERSION">Summary!$L$20</definedName>
    <definedName name="SUM_INCLUDE_IHZ">Summary!$C$23</definedName>
    <definedName name="SUM_INCLUDE_OHZ">Summary!$C$24</definedName>
    <definedName name="SUM_INCLUDE_SEC">Summary!$C$25</definedName>
    <definedName name="SUM_INCLUDE_VES">Summary!$C$20</definedName>
    <definedName name="SUM_INCLUDE_VOY">Summary!$C$21</definedName>
    <definedName name="SUM_INCLUDE_WAS">Summary!$C$22</definedName>
    <definedName name="SUM_OVE_VALID">Summary!$D$29</definedName>
    <definedName name="SUM_OVR_RES">Summary!$B$31</definedName>
    <definedName name="SUM_SRC_SOURCE">Summary!$H$20</definedName>
    <definedName name="SUM_SRC_UPDATED">Summary!$H$21</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KPORT">'Reference data'!$AM$2:$AM$326</definedName>
    <definedName name="Units_description">'Reference data'!$U$2:$U$4</definedName>
    <definedName name="VES_DEC_VALID">Summary!$E$20</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Validator!$M$17</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C_VALID">Summary!$E$21</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EC_VALID">Summary!$E$22</definedName>
    <definedName name="WAS_DOC_KEY">Waste!$C$60</definedName>
    <definedName name="WAS_EMPTY_RES">Validator!$D$3</definedName>
    <definedName name="WAS_ITE_CATEGORY">Waste!$C$23:$C$58</definedName>
    <definedName name="WAS_ITE_DELIVERED">Waste!$I$23:$I$58</definedName>
    <definedName name="WAS_ITE_DELIVEREDU">Waste!$J$23:$J$58</definedName>
    <definedName name="WAS_ITE_GENERATED">Waste!$T$23:$T$58</definedName>
    <definedName name="WAS_ITE_GENERATEDU">Waste!$U$23:$V$58</definedName>
    <definedName name="WAS_ITE_ITEMNO">Waste!$B$23:$B$58</definedName>
    <definedName name="WAS_ITE_MAXSTORAG">Waste!$K$23:$L$58</definedName>
    <definedName name="WAS_ITE_MAXSTORAGU">Waste!$M$23:$M$58</definedName>
    <definedName name="WAS_ITE_REMAINING">Waste!$Q$23:$Q$58</definedName>
    <definedName name="WAS_ITE_RETAINED">Waste!$N$23:$O$58</definedName>
    <definedName name="WAS_ITE_RETAINEDU">Waste!$P$23:$P$58</definedName>
    <definedName name="WAS_ITE_TYPE">Waste!$D$23:$E$58</definedName>
    <definedName name="WAS_ITE_TYPECODE">Waste!$F$23:$F$58</definedName>
    <definedName name="WAS_ITE_TYPEDESCRI">Waste!$G$23:$H$58</definedName>
    <definedName name="WAS_LOC_LATITUDE">Waste!$I$9</definedName>
    <definedName name="WAS_LOC_LOCNAME">Waste!$I$11</definedName>
    <definedName name="WAS_LOC_LOCODE">Waste!$I$7</definedName>
    <definedName name="WAS_LOC_LONGITUDE">Waste!$I$10</definedName>
    <definedName name="WAS_LOCODE_LOOKUP">Waste!$R$10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Waste!$P$18</definedName>
    <definedName name="WAS_VOY_ETDFROMPOC">Waste!$H$18</definedName>
    <definedName name="WAS_VOY_LASTPORT">Waste!$H$17</definedName>
    <definedName name="WAS_VOY_NEXTPORT">Waste!$P$17</definedName>
    <definedName name="Waste_Categories">'Reference data'!$Y$2:$Y$6</definedName>
    <definedName name="Waste_delivery_status">'Reference data'!$S$2:$S$4</definedName>
    <definedName name="Waste_oils">'Reference data'!$Z$2:$Z$5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3" l="1"/>
  <c r="C8" i="6"/>
  <c r="P3" i="39" s="1"/>
  <c r="J1521" i="39" l="1"/>
  <c r="G1521" i="39"/>
  <c r="M9" i="39" l="1"/>
  <c r="H18" i="1" l="1"/>
  <c r="G1512" i="39" l="1"/>
  <c r="J1512" i="39"/>
  <c r="U14" i="33" l="1"/>
  <c r="G1533" i="39" s="1"/>
  <c r="J1545" i="39" l="1"/>
  <c r="G1545" i="39"/>
  <c r="D6" i="39"/>
  <c r="D7" i="1"/>
  <c r="J1517" i="39" l="1"/>
  <c r="A3" i="39" l="1"/>
  <c r="D3" i="39"/>
  <c r="J3" i="39"/>
  <c r="G3" i="39"/>
  <c r="M3" i="39"/>
  <c r="G1526" i="39" l="1"/>
  <c r="J1526" i="39"/>
  <c r="J1544" i="39"/>
  <c r="G1544" i="39"/>
  <c r="J1543" i="39"/>
  <c r="G1543" i="39"/>
  <c r="J1542" i="39"/>
  <c r="G1542" i="39"/>
  <c r="J1541" i="39"/>
  <c r="G1541" i="39"/>
  <c r="J1540" i="39"/>
  <c r="G1540" i="39"/>
  <c r="J1539" i="39"/>
  <c r="G1539" i="39"/>
  <c r="J1538" i="39"/>
  <c r="G1538" i="39"/>
  <c r="J1537" i="39"/>
  <c r="G1537" i="39"/>
  <c r="J1536" i="39"/>
  <c r="G1536" i="39"/>
  <c r="J1535" i="39"/>
  <c r="G1535" i="39"/>
  <c r="J1534" i="39"/>
  <c r="G1534" i="39"/>
  <c r="J1532" i="39"/>
  <c r="G1532" i="39"/>
  <c r="J1531" i="39"/>
  <c r="G1531" i="39"/>
  <c r="J1530" i="39"/>
  <c r="G1530" i="39"/>
  <c r="J1529" i="39"/>
  <c r="G1529" i="39"/>
  <c r="J1528" i="39"/>
  <c r="G1528" i="39"/>
  <c r="J1527" i="39"/>
  <c r="G1527" i="39"/>
  <c r="J1525" i="39"/>
  <c r="G1525" i="39"/>
  <c r="J1524" i="39"/>
  <c r="G1524" i="39"/>
  <c r="J1523" i="39"/>
  <c r="G1523" i="39"/>
  <c r="J1522" i="39"/>
  <c r="G1522" i="39"/>
  <c r="J1520" i="39"/>
  <c r="G1520" i="39"/>
  <c r="J1519" i="39"/>
  <c r="G1519" i="39"/>
  <c r="J1518" i="39"/>
  <c r="G1518" i="39"/>
  <c r="C7" i="38" l="1"/>
  <c r="C9" i="38" l="1"/>
  <c r="A64" i="39" l="1"/>
  <c r="P12" i="39"/>
  <c r="P5" i="39" l="1"/>
  <c r="E24" i="3" l="1"/>
  <c r="J6" i="39"/>
  <c r="G1517" i="39"/>
  <c r="R16" i="3" l="1"/>
  <c r="J1310" i="39"/>
  <c r="J1342" i="39"/>
  <c r="J1356" i="39"/>
  <c r="J1365" i="39"/>
  <c r="J1378" i="39"/>
  <c r="J1387" i="39"/>
  <c r="J1397" i="39"/>
  <c r="J1407" i="39"/>
  <c r="J1415" i="39"/>
  <c r="J1427" i="39"/>
  <c r="J1425" i="39"/>
  <c r="J1440" i="39"/>
  <c r="J1455" i="39"/>
  <c r="J1447" i="39"/>
  <c r="J1463" i="39"/>
  <c r="J1469" i="39"/>
  <c r="J1477" i="39"/>
  <c r="J1490" i="39"/>
  <c r="J1503" i="39"/>
  <c r="J1510" i="39"/>
  <c r="J1509" i="39"/>
  <c r="J1508" i="39"/>
  <c r="J1507" i="39"/>
  <c r="J1506" i="39"/>
  <c r="J1505" i="39"/>
  <c r="J1504" i="39"/>
  <c r="J1502" i="39"/>
  <c r="J1501" i="39"/>
  <c r="J1500" i="39"/>
  <c r="J1499" i="39"/>
  <c r="J1498" i="39"/>
  <c r="J1497" i="39"/>
  <c r="J1496" i="39"/>
  <c r="J1495" i="39"/>
  <c r="J1494" i="39"/>
  <c r="J1493" i="39"/>
  <c r="J1492" i="39"/>
  <c r="J1491" i="39"/>
  <c r="J1489" i="39"/>
  <c r="J1488" i="39"/>
  <c r="J1487" i="39"/>
  <c r="J1486" i="39"/>
  <c r="J1485" i="39"/>
  <c r="J1484" i="39"/>
  <c r="J1483" i="39"/>
  <c r="J1482" i="39"/>
  <c r="J1481" i="39"/>
  <c r="J1480" i="39"/>
  <c r="J1479" i="39"/>
  <c r="J1478" i="39"/>
  <c r="J1476" i="39"/>
  <c r="J1475" i="39"/>
  <c r="J1474" i="39"/>
  <c r="J1473" i="39"/>
  <c r="J1472" i="39"/>
  <c r="J1471" i="39"/>
  <c r="J1470" i="39"/>
  <c r="J1468" i="39"/>
  <c r="J1467" i="39"/>
  <c r="J1466" i="39"/>
  <c r="J1465" i="39"/>
  <c r="J1464" i="39"/>
  <c r="J1462" i="39"/>
  <c r="J1461" i="39"/>
  <c r="J1460" i="39"/>
  <c r="J1459" i="39"/>
  <c r="J1458" i="39"/>
  <c r="J1457" i="39"/>
  <c r="J1456" i="39"/>
  <c r="J1454" i="39"/>
  <c r="J1453" i="39"/>
  <c r="J1452" i="39"/>
  <c r="J1451" i="39"/>
  <c r="J1450" i="39"/>
  <c r="J1449" i="39"/>
  <c r="J1448" i="39"/>
  <c r="J1446" i="39"/>
  <c r="J1445" i="39"/>
  <c r="J1444" i="39"/>
  <c r="J1443" i="39"/>
  <c r="J1442" i="39"/>
  <c r="J1441" i="39"/>
  <c r="J1439" i="39"/>
  <c r="J1438" i="39"/>
  <c r="J1437" i="39"/>
  <c r="J1436" i="39"/>
  <c r="J1435" i="39"/>
  <c r="J1434" i="39"/>
  <c r="J1433" i="39"/>
  <c r="J1432" i="39"/>
  <c r="J1431" i="39"/>
  <c r="J1430" i="39"/>
  <c r="J1429" i="39"/>
  <c r="J1428" i="39"/>
  <c r="J1426" i="39"/>
  <c r="J1424" i="39"/>
  <c r="J1423" i="39"/>
  <c r="J1422" i="39"/>
  <c r="J1421" i="39"/>
  <c r="J1420" i="39"/>
  <c r="J1419" i="39"/>
  <c r="J1418" i="39"/>
  <c r="J1417" i="39"/>
  <c r="J1416" i="39"/>
  <c r="J1414" i="39"/>
  <c r="J1413" i="39"/>
  <c r="J1412" i="39"/>
  <c r="J1411" i="39"/>
  <c r="J1410" i="39"/>
  <c r="J1409" i="39"/>
  <c r="J1408" i="39"/>
  <c r="J1406" i="39"/>
  <c r="J1405" i="39"/>
  <c r="J1404" i="39"/>
  <c r="J1403" i="39"/>
  <c r="J1402" i="39"/>
  <c r="J1401" i="39"/>
  <c r="J1400" i="39"/>
  <c r="J1399" i="39"/>
  <c r="J1398" i="39"/>
  <c r="J1396" i="39"/>
  <c r="J1395" i="39"/>
  <c r="J1394" i="39"/>
  <c r="J1393" i="39"/>
  <c r="J1392" i="39"/>
  <c r="J1391" i="39"/>
  <c r="J1390" i="39"/>
  <c r="J1389" i="39"/>
  <c r="J1388" i="39"/>
  <c r="J1386" i="39"/>
  <c r="J1385" i="39"/>
  <c r="J1384" i="39"/>
  <c r="J1383" i="39"/>
  <c r="J1382" i="39"/>
  <c r="J1381" i="39"/>
  <c r="J1380" i="39"/>
  <c r="J1379" i="39"/>
  <c r="J1377" i="39"/>
  <c r="J1376" i="39"/>
  <c r="J1375" i="39"/>
  <c r="J1374" i="39"/>
  <c r="J1373" i="39"/>
  <c r="J1372" i="39"/>
  <c r="J1371" i="39"/>
  <c r="J1370" i="39"/>
  <c r="J1369" i="39"/>
  <c r="J1368" i="39"/>
  <c r="J1367" i="39"/>
  <c r="J1366" i="39"/>
  <c r="J1364" i="39"/>
  <c r="J1363" i="39"/>
  <c r="J1362" i="39"/>
  <c r="J1361" i="39"/>
  <c r="J1360" i="39"/>
  <c r="J1359" i="39"/>
  <c r="J1358" i="39"/>
  <c r="J1357" i="39"/>
  <c r="J1355" i="39"/>
  <c r="J1354" i="39"/>
  <c r="J1353" i="39"/>
  <c r="J1352" i="39"/>
  <c r="J1351" i="39"/>
  <c r="J1350" i="39"/>
  <c r="J1349" i="39"/>
  <c r="J1348" i="39"/>
  <c r="J1347" i="39"/>
  <c r="J1346" i="39"/>
  <c r="J1345" i="39"/>
  <c r="J1344" i="39"/>
  <c r="J1343"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G1400" i="39"/>
  <c r="G1413" i="39"/>
  <c r="G1421" i="39"/>
  <c r="G1428" i="39"/>
  <c r="G1433" i="39"/>
  <c r="G1450" i="39"/>
  <c r="G1466" i="39"/>
  <c r="G1490" i="39"/>
  <c r="G1505" i="39"/>
  <c r="G1510" i="39"/>
  <c r="G1509" i="39"/>
  <c r="G1508" i="39"/>
  <c r="G1507" i="39"/>
  <c r="G1506" i="39"/>
  <c r="G1504" i="39"/>
  <c r="G1503" i="39"/>
  <c r="G1502" i="39"/>
  <c r="G1501" i="39"/>
  <c r="G1500" i="39"/>
  <c r="G1499" i="39"/>
  <c r="G1498" i="39"/>
  <c r="G1497" i="39"/>
  <c r="G1496" i="39"/>
  <c r="G1495" i="39"/>
  <c r="G1494" i="39"/>
  <c r="G1493" i="39"/>
  <c r="G1492" i="39"/>
  <c r="G1491"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5" i="39"/>
  <c r="G1464" i="39"/>
  <c r="G1463" i="39"/>
  <c r="G1462" i="39"/>
  <c r="G1461" i="39"/>
  <c r="G1460"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2" i="39"/>
  <c r="G1431" i="39"/>
  <c r="G1430" i="39"/>
  <c r="G1429" i="39"/>
  <c r="G1427" i="39"/>
  <c r="G1426" i="39"/>
  <c r="G1425" i="39"/>
  <c r="G1424" i="39"/>
  <c r="G1423" i="39"/>
  <c r="G1422" i="39"/>
  <c r="G1420" i="39"/>
  <c r="G1419" i="39"/>
  <c r="G1418" i="39"/>
  <c r="G1417" i="39"/>
  <c r="G1416" i="39"/>
  <c r="G1415" i="39"/>
  <c r="G1414" i="39"/>
  <c r="G1412" i="39"/>
  <c r="G1411" i="39"/>
  <c r="G1410" i="39"/>
  <c r="G1409" i="39"/>
  <c r="G1408" i="39"/>
  <c r="G1407" i="39"/>
  <c r="G1406" i="39"/>
  <c r="G1405" i="39"/>
  <c r="G1404" i="39"/>
  <c r="G1403" i="39"/>
  <c r="G1402" i="39"/>
  <c r="G1401"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75" i="39"/>
  <c r="G1374" i="39"/>
  <c r="G1373" i="39"/>
  <c r="G1372" i="39"/>
  <c r="G1371" i="39"/>
  <c r="G1370" i="39"/>
  <c r="G1369" i="39"/>
  <c r="G1368" i="39"/>
  <c r="G1367" i="39"/>
  <c r="G1366" i="39"/>
  <c r="G1365" i="39"/>
  <c r="G1364" i="39"/>
  <c r="G1363" i="39"/>
  <c r="G1362" i="39"/>
  <c r="G1361" i="39"/>
  <c r="G1360" i="39"/>
  <c r="G1359" i="39"/>
  <c r="G1358" i="39"/>
  <c r="G1357" i="39"/>
  <c r="G1356" i="39"/>
  <c r="G1355"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J1262" i="39"/>
  <c r="J1261" i="39"/>
  <c r="J1260" i="39"/>
  <c r="J1259" i="39"/>
  <c r="J1258" i="39"/>
  <c r="E14" i="3"/>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J1533" i="39" s="1"/>
  <c r="A8" i="39" l="1"/>
  <c r="U6" i="3"/>
  <c r="A51" i="39" s="1"/>
  <c r="F23" i="1"/>
  <c r="P6"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J7" i="39"/>
  <c r="J8" i="39"/>
  <c r="J9" i="39"/>
  <c r="J10" i="39"/>
  <c r="J11" i="39"/>
  <c r="J12" i="39"/>
  <c r="J13" i="39"/>
  <c r="J14" i="39"/>
  <c r="J15" i="39"/>
  <c r="J16" i="39"/>
  <c r="J17" i="39"/>
  <c r="J18" i="39"/>
  <c r="J19" i="39"/>
  <c r="J20" i="39"/>
  <c r="J21" i="39"/>
  <c r="J22" i="39"/>
  <c r="J23" i="39"/>
  <c r="J24" i="39"/>
  <c r="J25" i="39"/>
  <c r="J26" i="39"/>
  <c r="J27" i="39"/>
  <c r="J28" i="39"/>
  <c r="J29" i="39"/>
  <c r="J30" i="39"/>
  <c r="J31" i="39"/>
  <c r="J32" i="39"/>
  <c r="J33" i="39"/>
  <c r="J34" i="39"/>
  <c r="J35" i="39"/>
  <c r="J36" i="39"/>
  <c r="J37" i="39"/>
  <c r="J38" i="39"/>
  <c r="J39" i="39"/>
  <c r="J40" i="39"/>
  <c r="J41" i="39"/>
  <c r="J42" i="39"/>
  <c r="J43" i="39"/>
  <c r="J44" i="39"/>
  <c r="J45" i="39"/>
  <c r="J46" i="39"/>
  <c r="J47" i="39"/>
  <c r="J48" i="39"/>
  <c r="J49" i="39"/>
  <c r="J50" i="39"/>
  <c r="J51" i="39"/>
  <c r="J52" i="39"/>
  <c r="J53" i="39"/>
  <c r="J54" i="39"/>
  <c r="J55" i="39"/>
  <c r="J56" i="39"/>
  <c r="J57" i="39"/>
  <c r="J58" i="39"/>
  <c r="J59" i="39"/>
  <c r="J60" i="39"/>
  <c r="J61" i="39"/>
  <c r="J62" i="39"/>
  <c r="J63" i="39"/>
  <c r="J64" i="39"/>
  <c r="J65" i="39"/>
  <c r="J66" i="39"/>
  <c r="J67" i="39"/>
  <c r="J68" i="39"/>
  <c r="J69" i="39"/>
  <c r="J70" i="39"/>
  <c r="J71" i="39"/>
  <c r="J72" i="39"/>
  <c r="J73" i="39"/>
  <c r="J74" i="39"/>
  <c r="J75" i="39"/>
  <c r="J76" i="39"/>
  <c r="J77" i="39"/>
  <c r="J78" i="39"/>
  <c r="J79" i="39"/>
  <c r="J80" i="39"/>
  <c r="J81" i="39"/>
  <c r="J82" i="39"/>
  <c r="J83" i="39"/>
  <c r="J84" i="39"/>
  <c r="J85" i="39"/>
  <c r="J86" i="39"/>
  <c r="J87" i="39"/>
  <c r="J88" i="39"/>
  <c r="J89" i="39"/>
  <c r="J90" i="39"/>
  <c r="J91" i="39"/>
  <c r="J92" i="39"/>
  <c r="J93" i="39"/>
  <c r="J94" i="39"/>
  <c r="J95" i="39"/>
  <c r="J96" i="39"/>
  <c r="J97" i="39"/>
  <c r="J98" i="39"/>
  <c r="J99" i="39"/>
  <c r="J100" i="39"/>
  <c r="J101" i="39"/>
  <c r="J102" i="39"/>
  <c r="J103" i="39"/>
  <c r="J104" i="39"/>
  <c r="J105" i="39"/>
  <c r="J106" i="39"/>
  <c r="J107" i="39"/>
  <c r="J108" i="39"/>
  <c r="J109" i="39"/>
  <c r="J110" i="39"/>
  <c r="J111" i="39"/>
  <c r="J112" i="39"/>
  <c r="J113" i="39"/>
  <c r="J114" i="39"/>
  <c r="J115" i="39"/>
  <c r="J116" i="39"/>
  <c r="J117" i="39"/>
  <c r="J118" i="39"/>
  <c r="J119" i="39"/>
  <c r="J120" i="39"/>
  <c r="J121" i="39"/>
  <c r="J122" i="39"/>
  <c r="J123" i="39"/>
  <c r="J124" i="39"/>
  <c r="J125" i="39"/>
  <c r="J126" i="39"/>
  <c r="J127" i="39"/>
  <c r="J128" i="39"/>
  <c r="J129" i="39"/>
  <c r="J130" i="39"/>
  <c r="J131" i="39"/>
  <c r="J132" i="39"/>
  <c r="J133" i="39"/>
  <c r="J134" i="39"/>
  <c r="J135" i="39"/>
  <c r="J136" i="39"/>
  <c r="J137" i="39"/>
  <c r="J138" i="39"/>
  <c r="J139" i="39"/>
  <c r="J140" i="39"/>
  <c r="J141" i="39"/>
  <c r="J142" i="39"/>
  <c r="J143" i="39"/>
  <c r="J144" i="39"/>
  <c r="J145" i="39"/>
  <c r="J146" i="39"/>
  <c r="J147" i="39"/>
  <c r="J148" i="39"/>
  <c r="J149" i="39"/>
  <c r="J150" i="39"/>
  <c r="J151" i="39"/>
  <c r="J152" i="39"/>
  <c r="J153" i="39"/>
  <c r="J154" i="39"/>
  <c r="J155" i="39"/>
  <c r="J156" i="39"/>
  <c r="J157" i="39"/>
  <c r="J158" i="39"/>
  <c r="J159" i="39"/>
  <c r="J160" i="39"/>
  <c r="J161" i="39"/>
  <c r="J162" i="39"/>
  <c r="J163" i="39"/>
  <c r="J164" i="39"/>
  <c r="J165" i="39"/>
  <c r="J166" i="39"/>
  <c r="J167" i="39"/>
  <c r="J168" i="39"/>
  <c r="J169" i="39"/>
  <c r="J170" i="39"/>
  <c r="J171" i="39"/>
  <c r="J172" i="39"/>
  <c r="J173" i="39"/>
  <c r="J174" i="39"/>
  <c r="J175" i="39"/>
  <c r="J176" i="39"/>
  <c r="J177" i="39"/>
  <c r="J178" i="39"/>
  <c r="J179" i="39"/>
  <c r="J180" i="39"/>
  <c r="J181" i="39"/>
  <c r="J182" i="39"/>
  <c r="J183" i="39"/>
  <c r="J184" i="39"/>
  <c r="J185" i="39"/>
  <c r="J186" i="39"/>
  <c r="J187" i="39"/>
  <c r="J188" i="39"/>
  <c r="J189" i="39"/>
  <c r="J190" i="39"/>
  <c r="J191"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232" i="39"/>
  <c r="J233" i="39"/>
  <c r="J234" i="39"/>
  <c r="J235" i="39"/>
  <c r="J236" i="39"/>
  <c r="J237" i="39"/>
  <c r="J238" i="39"/>
  <c r="J239" i="39"/>
  <c r="J240" i="39"/>
  <c r="J241" i="39"/>
  <c r="J242" i="39"/>
  <c r="J243" i="39"/>
  <c r="J244" i="39"/>
  <c r="J245" i="39"/>
  <c r="J246" i="39"/>
  <c r="J247" i="39"/>
  <c r="J248" i="39"/>
  <c r="J249" i="39"/>
  <c r="J250" i="39"/>
  <c r="J251" i="39"/>
  <c r="J252" i="39"/>
  <c r="J253" i="39"/>
  <c r="J511" i="39"/>
  <c r="J510" i="39"/>
  <c r="J509" i="39"/>
  <c r="J508" i="39"/>
  <c r="G510" i="39"/>
  <c r="G509" i="39"/>
  <c r="G508" i="39"/>
  <c r="P18" i="1" l="1"/>
  <c r="K1259" i="39" l="1"/>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495" i="39"/>
  <c r="H1496" i="39"/>
  <c r="H1497" i="39"/>
  <c r="H1498" i="39"/>
  <c r="H1499" i="39"/>
  <c r="H1500" i="39"/>
  <c r="H1501" i="39"/>
  <c r="H1502" i="39"/>
  <c r="H1503" i="39"/>
  <c r="H1504" i="39"/>
  <c r="H1505" i="39"/>
  <c r="H1506" i="39"/>
  <c r="H1507" i="39"/>
  <c r="H125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E9" i="39"/>
  <c r="E10" i="39"/>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8" i="39"/>
  <c r="E7" i="39"/>
  <c r="A85" i="39" l="1"/>
  <c r="A84" i="39"/>
  <c r="A83" i="39"/>
  <c r="A82" i="39"/>
  <c r="A81" i="39"/>
  <c r="A80" i="39"/>
  <c r="A77" i="39"/>
  <c r="A76" i="39"/>
  <c r="A75" i="39"/>
  <c r="A74" i="39"/>
  <c r="A73" i="39"/>
  <c r="A72" i="39"/>
  <c r="A71" i="39"/>
  <c r="A70" i="39"/>
  <c r="A69" i="39"/>
  <c r="A68" i="39"/>
  <c r="A67" i="39"/>
  <c r="A66" i="39"/>
  <c r="A65" i="39"/>
  <c r="A63" i="39"/>
  <c r="A62" i="39"/>
  <c r="D119" i="39" l="1"/>
  <c r="D130" i="39"/>
  <c r="D129" i="39"/>
  <c r="D128" i="39"/>
  <c r="D127" i="39"/>
  <c r="D126" i="39"/>
  <c r="D125" i="39"/>
  <c r="D124" i="39"/>
  <c r="D123" i="39"/>
  <c r="D122" i="39"/>
  <c r="D121" i="39"/>
  <c r="D117" i="39"/>
  <c r="E118" i="39"/>
  <c r="A59" i="39" l="1"/>
  <c r="A58" i="39"/>
  <c r="A57" i="39"/>
  <c r="A56" i="39"/>
  <c r="A55" i="39"/>
  <c r="A54" i="39"/>
  <c r="A53" i="39"/>
  <c r="A52" i="39"/>
  <c r="A50" i="39"/>
  <c r="A49" i="39"/>
  <c r="A48" i="39"/>
  <c r="A47" i="39"/>
  <c r="A46" i="39"/>
  <c r="A45" i="39"/>
  <c r="A44" i="39"/>
  <c r="A43" i="39"/>
  <c r="A40" i="39"/>
  <c r="A39" i="39"/>
  <c r="A36" i="39"/>
  <c r="A35" i="39"/>
  <c r="A34" i="39"/>
  <c r="A38" i="39"/>
  <c r="A37" i="39"/>
  <c r="A42" i="39"/>
  <c r="A41" i="39"/>
  <c r="J1511" i="39" l="1"/>
  <c r="J1516" i="39"/>
  <c r="J1515" i="39"/>
  <c r="J1513" i="39"/>
  <c r="J1514" i="39"/>
  <c r="G1516" i="39" l="1"/>
  <c r="G1515" i="39"/>
  <c r="G1511" i="39"/>
  <c r="G1514" i="39"/>
  <c r="G1513" i="39"/>
  <c r="D116" i="39" l="1"/>
  <c r="D115" i="39"/>
  <c r="D114" i="39"/>
  <c r="D113" i="39" l="1"/>
  <c r="D112" i="39"/>
  <c r="D110" i="39"/>
  <c r="D109" i="39"/>
  <c r="D108" i="39"/>
  <c r="D107" i="39"/>
  <c r="D106" i="39"/>
  <c r="P19" i="39"/>
  <c r="P23" i="39"/>
  <c r="P21" i="39"/>
  <c r="P18" i="39"/>
  <c r="P13" i="39"/>
  <c r="M6" i="39"/>
  <c r="M7" i="39"/>
  <c r="M16" i="39"/>
  <c r="M15" i="39"/>
  <c r="M14" i="39"/>
  <c r="M13" i="39"/>
  <c r="M11" i="39" l="1"/>
  <c r="M8" i="39"/>
  <c r="M5" i="39" l="1"/>
  <c r="E23" i="3" l="1"/>
  <c r="E22" i="3"/>
  <c r="E21" i="3"/>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17" i="39"/>
  <c r="G261" i="39"/>
  <c r="G260" i="39"/>
  <c r="G259" i="39"/>
  <c r="G257" i="39"/>
  <c r="G256" i="39"/>
  <c r="G255" i="39"/>
  <c r="G254" i="39"/>
  <c r="G251" i="39"/>
  <c r="G244" i="39"/>
  <c r="G233" i="39"/>
  <c r="G206" i="39"/>
  <c r="G198" i="39"/>
  <c r="G191" i="39"/>
  <c r="G185" i="39"/>
  <c r="G6" i="39"/>
  <c r="B23" i="33" l="1"/>
  <c r="A11" i="39" l="1"/>
  <c r="G7" i="39" l="1"/>
  <c r="G253" i="39" l="1"/>
  <c r="G252" i="39"/>
  <c r="G250" i="39"/>
  <c r="G249" i="39"/>
  <c r="G248" i="39"/>
  <c r="G247" i="39"/>
  <c r="G246" i="39"/>
  <c r="G245" i="39"/>
  <c r="G243" i="39"/>
  <c r="G242" i="39"/>
  <c r="G241" i="39"/>
  <c r="G240" i="39"/>
  <c r="G239" i="39"/>
  <c r="G238" i="39"/>
  <c r="G237" i="39"/>
  <c r="G236" i="39"/>
  <c r="G235" i="39"/>
  <c r="G234"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5" i="39"/>
  <c r="G204" i="39"/>
  <c r="G203" i="39"/>
  <c r="G202" i="39"/>
  <c r="G201" i="39"/>
  <c r="G200" i="39"/>
  <c r="G199" i="39"/>
  <c r="G197" i="39"/>
  <c r="G196" i="39"/>
  <c r="G195" i="39"/>
  <c r="G194" i="39"/>
  <c r="G193" i="39"/>
  <c r="G192" i="39"/>
  <c r="G190" i="39"/>
  <c r="G189" i="39"/>
  <c r="G188" i="39"/>
  <c r="G187" i="39"/>
  <c r="G186" i="39"/>
  <c r="G184" i="39"/>
  <c r="G183" i="39"/>
  <c r="G182" i="39"/>
  <c r="G181" i="39"/>
  <c r="G180" i="39"/>
  <c r="G179" i="39"/>
  <c r="G178" i="39"/>
  <c r="G177" i="39"/>
  <c r="G176" i="39"/>
  <c r="G175" i="39"/>
  <c r="G174" i="39"/>
  <c r="G173" i="39"/>
  <c r="G172" i="39"/>
  <c r="G171" i="39"/>
  <c r="B177" i="33" s="1"/>
  <c r="G170" i="39"/>
  <c r="B176" i="33" s="1"/>
  <c r="G169" i="39"/>
  <c r="B175" i="33" s="1"/>
  <c r="G168" i="39"/>
  <c r="B174" i="33" s="1"/>
  <c r="G167" i="39"/>
  <c r="B173" i="33" s="1"/>
  <c r="G166" i="39"/>
  <c r="B172" i="33" s="1"/>
  <c r="G165" i="39"/>
  <c r="B171" i="33" s="1"/>
  <c r="G164" i="39"/>
  <c r="B170" i="33" s="1"/>
  <c r="G163" i="39"/>
  <c r="B169" i="33" s="1"/>
  <c r="G162" i="39"/>
  <c r="B168" i="33" s="1"/>
  <c r="G161" i="39"/>
  <c r="B167" i="33" s="1"/>
  <c r="G160" i="39"/>
  <c r="B166" i="33" s="1"/>
  <c r="G159" i="39"/>
  <c r="B165" i="33" s="1"/>
  <c r="G158" i="39"/>
  <c r="B164" i="33" s="1"/>
  <c r="G157" i="39"/>
  <c r="B163" i="33" s="1"/>
  <c r="G156" i="39"/>
  <c r="B162" i="33" s="1"/>
  <c r="G155" i="39"/>
  <c r="B161" i="33" s="1"/>
  <c r="G154" i="39"/>
  <c r="B160" i="33" s="1"/>
  <c r="G153" i="39"/>
  <c r="B159" i="33" s="1"/>
  <c r="G152" i="39"/>
  <c r="B158" i="33" s="1"/>
  <c r="G151" i="39"/>
  <c r="B157" i="33" s="1"/>
  <c r="G150" i="39"/>
  <c r="B156" i="33" s="1"/>
  <c r="G149" i="39"/>
  <c r="B155" i="33" s="1"/>
  <c r="G148" i="39"/>
  <c r="B154" i="33" s="1"/>
  <c r="G147" i="39"/>
  <c r="B153" i="33" s="1"/>
  <c r="G146" i="39"/>
  <c r="B152" i="33" s="1"/>
  <c r="G145" i="39"/>
  <c r="B151" i="33" s="1"/>
  <c r="G144" i="39"/>
  <c r="B150" i="33" s="1"/>
  <c r="G143" i="39"/>
  <c r="B149" i="33" s="1"/>
  <c r="G142" i="39"/>
  <c r="B148" i="33" s="1"/>
  <c r="G141" i="39"/>
  <c r="B147" i="33" s="1"/>
  <c r="G140" i="39"/>
  <c r="B146" i="33" s="1"/>
  <c r="G139" i="39"/>
  <c r="B145" i="33" s="1"/>
  <c r="G138" i="39"/>
  <c r="B144" i="33" s="1"/>
  <c r="G137" i="39"/>
  <c r="B143" i="33" s="1"/>
  <c r="G136" i="39"/>
  <c r="B142" i="33" s="1"/>
  <c r="G135" i="39"/>
  <c r="B141" i="33" s="1"/>
  <c r="G134" i="39"/>
  <c r="B140" i="33" s="1"/>
  <c r="G133" i="39"/>
  <c r="B139" i="33" s="1"/>
  <c r="G132" i="39"/>
  <c r="B138" i="33" s="1"/>
  <c r="G131" i="39"/>
  <c r="B137" i="33" s="1"/>
  <c r="G130" i="39"/>
  <c r="B136" i="33" s="1"/>
  <c r="G129" i="39"/>
  <c r="B135" i="33" s="1"/>
  <c r="G128" i="39"/>
  <c r="B134" i="33" s="1"/>
  <c r="G127" i="39"/>
  <c r="B133" i="33" s="1"/>
  <c r="G126" i="39"/>
  <c r="B132" i="33" s="1"/>
  <c r="G125" i="39"/>
  <c r="B131" i="33" s="1"/>
  <c r="G124" i="39"/>
  <c r="B130" i="33" s="1"/>
  <c r="G123" i="39"/>
  <c r="B129" i="33" s="1"/>
  <c r="G122" i="39"/>
  <c r="B128" i="33" s="1"/>
  <c r="G121" i="39"/>
  <c r="B127" i="33" s="1"/>
  <c r="G120" i="39"/>
  <c r="B126" i="33" s="1"/>
  <c r="G119" i="39"/>
  <c r="B125" i="33" s="1"/>
  <c r="G118" i="39"/>
  <c r="B124" i="33" s="1"/>
  <c r="G117" i="39"/>
  <c r="B123" i="33" s="1"/>
  <c r="G116" i="39"/>
  <c r="B122" i="33" s="1"/>
  <c r="G115" i="39"/>
  <c r="B121" i="33" s="1"/>
  <c r="G114" i="39"/>
  <c r="B120" i="33" s="1"/>
  <c r="G113" i="39"/>
  <c r="B119" i="33" s="1"/>
  <c r="G112" i="39"/>
  <c r="B118" i="33" s="1"/>
  <c r="G111" i="39"/>
  <c r="B117" i="33" s="1"/>
  <c r="G110" i="39"/>
  <c r="B116" i="33" s="1"/>
  <c r="G109" i="39"/>
  <c r="B115" i="33" s="1"/>
  <c r="G108" i="39"/>
  <c r="B114" i="33" s="1"/>
  <c r="G107" i="39"/>
  <c r="B113" i="33" s="1"/>
  <c r="G106" i="39"/>
  <c r="B112" i="33" s="1"/>
  <c r="G105" i="39"/>
  <c r="B111" i="33" s="1"/>
  <c r="G104" i="39"/>
  <c r="B110" i="33" s="1"/>
  <c r="G103" i="39"/>
  <c r="B109" i="33" s="1"/>
  <c r="G102" i="39"/>
  <c r="B108" i="33" s="1"/>
  <c r="G101" i="39"/>
  <c r="B107" i="33" s="1"/>
  <c r="G100" i="39"/>
  <c r="B106" i="33" s="1"/>
  <c r="G99" i="39"/>
  <c r="B105" i="33" s="1"/>
  <c r="G98" i="39"/>
  <c r="B104" i="33" s="1"/>
  <c r="G97" i="39"/>
  <c r="B103" i="33" s="1"/>
  <c r="G96" i="39"/>
  <c r="B102" i="33" s="1"/>
  <c r="G95" i="39"/>
  <c r="B101" i="33" s="1"/>
  <c r="G94" i="39"/>
  <c r="B100" i="33" s="1"/>
  <c r="G93" i="39"/>
  <c r="B99" i="33" s="1"/>
  <c r="G92" i="39"/>
  <c r="B98" i="33" s="1"/>
  <c r="G91" i="39"/>
  <c r="B97" i="33" s="1"/>
  <c r="G90" i="39"/>
  <c r="B96" i="33" s="1"/>
  <c r="G89" i="39"/>
  <c r="B95" i="33" s="1"/>
  <c r="G88" i="39"/>
  <c r="B94" i="33" s="1"/>
  <c r="G87" i="39"/>
  <c r="B93" i="33" s="1"/>
  <c r="G86" i="39"/>
  <c r="B92" i="33" s="1"/>
  <c r="G85" i="39"/>
  <c r="B91" i="33" s="1"/>
  <c r="G84" i="39"/>
  <c r="B90" i="33" s="1"/>
  <c r="G83" i="39"/>
  <c r="B89" i="33" s="1"/>
  <c r="G82" i="39"/>
  <c r="B88" i="33" s="1"/>
  <c r="G81" i="39"/>
  <c r="B87" i="33" s="1"/>
  <c r="G80" i="39"/>
  <c r="B86" i="33" s="1"/>
  <c r="G79" i="39"/>
  <c r="B85" i="33" s="1"/>
  <c r="G78" i="39"/>
  <c r="B84" i="33" s="1"/>
  <c r="G77" i="39"/>
  <c r="B83" i="33" s="1"/>
  <c r="G76" i="39"/>
  <c r="B82" i="33" s="1"/>
  <c r="G75" i="39"/>
  <c r="B81" i="33" s="1"/>
  <c r="G74" i="39"/>
  <c r="B80" i="33" s="1"/>
  <c r="G73" i="39"/>
  <c r="B79" i="33" s="1"/>
  <c r="G72" i="39"/>
  <c r="B78" i="33" s="1"/>
  <c r="G71" i="39"/>
  <c r="B77" i="33" s="1"/>
  <c r="G70" i="39"/>
  <c r="B76" i="33" s="1"/>
  <c r="G69" i="39"/>
  <c r="B75" i="33" s="1"/>
  <c r="G68" i="39"/>
  <c r="B74" i="33" s="1"/>
  <c r="G67" i="39"/>
  <c r="B73" i="33" s="1"/>
  <c r="G66" i="39"/>
  <c r="B72" i="33" s="1"/>
  <c r="G65" i="39"/>
  <c r="B71" i="33" s="1"/>
  <c r="G64" i="39"/>
  <c r="B70" i="33" s="1"/>
  <c r="G63" i="39"/>
  <c r="B69" i="33" s="1"/>
  <c r="G62" i="39"/>
  <c r="B68" i="33" s="1"/>
  <c r="G61" i="39"/>
  <c r="B67" i="33" s="1"/>
  <c r="G60" i="39"/>
  <c r="B66" i="33" s="1"/>
  <c r="G59" i="39"/>
  <c r="B65" i="33" s="1"/>
  <c r="G58" i="39"/>
  <c r="B64" i="33" s="1"/>
  <c r="G57" i="39"/>
  <c r="B63" i="33" s="1"/>
  <c r="G56" i="39"/>
  <c r="B62" i="33" s="1"/>
  <c r="G55" i="39"/>
  <c r="B61" i="33" s="1"/>
  <c r="G54" i="39"/>
  <c r="B60" i="33" s="1"/>
  <c r="G53" i="39"/>
  <c r="B59" i="33" s="1"/>
  <c r="G52" i="39"/>
  <c r="B58" i="33" s="1"/>
  <c r="G51" i="39"/>
  <c r="B57" i="33" s="1"/>
  <c r="G50" i="39"/>
  <c r="B56" i="33" s="1"/>
  <c r="G49" i="39"/>
  <c r="B55" i="33" s="1"/>
  <c r="G48" i="39"/>
  <c r="B54" i="33" s="1"/>
  <c r="G47" i="39"/>
  <c r="B53" i="33" s="1"/>
  <c r="G46" i="39"/>
  <c r="B52" i="33" s="1"/>
  <c r="G45" i="39"/>
  <c r="B51" i="33" s="1"/>
  <c r="G44" i="39"/>
  <c r="B50" i="33" s="1"/>
  <c r="G43" i="39"/>
  <c r="B49" i="33" s="1"/>
  <c r="G42" i="39"/>
  <c r="B48" i="33" s="1"/>
  <c r="G41" i="39"/>
  <c r="B47" i="33" s="1"/>
  <c r="G40" i="39"/>
  <c r="B46" i="33" s="1"/>
  <c r="G39" i="39"/>
  <c r="B45" i="33" s="1"/>
  <c r="G38" i="39"/>
  <c r="B44" i="33" s="1"/>
  <c r="G37" i="39"/>
  <c r="B43" i="33" s="1"/>
  <c r="G36" i="39"/>
  <c r="B42" i="33" s="1"/>
  <c r="G35" i="39"/>
  <c r="B41" i="33" s="1"/>
  <c r="G34" i="39"/>
  <c r="B40" i="33" s="1"/>
  <c r="G33" i="39"/>
  <c r="B39" i="33" s="1"/>
  <c r="G32" i="39"/>
  <c r="B38" i="33" s="1"/>
  <c r="G31" i="39"/>
  <c r="B37" i="33" s="1"/>
  <c r="G30" i="39"/>
  <c r="B36" i="33" s="1"/>
  <c r="G29" i="39"/>
  <c r="B35" i="33" s="1"/>
  <c r="G28" i="39"/>
  <c r="B34" i="33" s="1"/>
  <c r="G27" i="39"/>
  <c r="B33" i="33" s="1"/>
  <c r="G26" i="39"/>
  <c r="B32" i="33" s="1"/>
  <c r="G25" i="39"/>
  <c r="B31" i="33" s="1"/>
  <c r="G24" i="39"/>
  <c r="B30" i="33" s="1"/>
  <c r="G23" i="39"/>
  <c r="B29" i="33" s="1"/>
  <c r="G22" i="39"/>
  <c r="B28" i="33" s="1"/>
  <c r="G21" i="39"/>
  <c r="B27" i="33" s="1"/>
  <c r="B263" i="33"/>
  <c r="B262" i="33"/>
  <c r="B261" i="33"/>
  <c r="B260" i="33"/>
  <c r="B257" i="33"/>
  <c r="B250" i="33"/>
  <c r="B239" i="33"/>
  <c r="B212" i="33"/>
  <c r="B204" i="33"/>
  <c r="B197" i="33"/>
  <c r="B191" i="33"/>
  <c r="G20" i="39"/>
  <c r="B26" i="33" s="1"/>
  <c r="G19" i="39"/>
  <c r="B25" i="33" s="1"/>
  <c r="B181" i="33" l="1"/>
  <c r="B185" i="33"/>
  <c r="B189" i="33"/>
  <c r="B199" i="33"/>
  <c r="B203" i="33"/>
  <c r="B208" i="33"/>
  <c r="B213" i="33"/>
  <c r="B217" i="33"/>
  <c r="B221" i="33"/>
  <c r="B225" i="33"/>
  <c r="B229" i="33"/>
  <c r="B233" i="33"/>
  <c r="B237" i="33"/>
  <c r="B251" i="33"/>
  <c r="B255" i="33"/>
  <c r="B178" i="33"/>
  <c r="B182" i="33"/>
  <c r="B186" i="33"/>
  <c r="B190" i="33"/>
  <c r="B195" i="33"/>
  <c r="B200" i="33"/>
  <c r="B205" i="33"/>
  <c r="B209" i="33"/>
  <c r="B214" i="33"/>
  <c r="B218" i="33"/>
  <c r="B222" i="33"/>
  <c r="B226" i="33"/>
  <c r="B230" i="33"/>
  <c r="B234" i="33"/>
  <c r="B238" i="33"/>
  <c r="B243" i="33"/>
  <c r="B247" i="33"/>
  <c r="B252" i="33"/>
  <c r="B256" i="33"/>
  <c r="B194" i="33"/>
  <c r="B242" i="33"/>
  <c r="B179" i="33"/>
  <c r="B183" i="33"/>
  <c r="B187" i="33"/>
  <c r="B192" i="33"/>
  <c r="B196" i="33"/>
  <c r="B201" i="33"/>
  <c r="B206" i="33"/>
  <c r="B210" i="33"/>
  <c r="B215" i="33"/>
  <c r="B219" i="33"/>
  <c r="B223" i="33"/>
  <c r="B227" i="33"/>
  <c r="B231" i="33"/>
  <c r="B235" i="33"/>
  <c r="B240" i="33"/>
  <c r="B244" i="33"/>
  <c r="B248" i="33"/>
  <c r="B253" i="33"/>
  <c r="B258" i="33"/>
  <c r="B246" i="33"/>
  <c r="B180" i="33"/>
  <c r="B184" i="33"/>
  <c r="B188" i="33"/>
  <c r="B193" i="33"/>
  <c r="B198" i="33"/>
  <c r="B202" i="33"/>
  <c r="B207" i="33"/>
  <c r="B211" i="33"/>
  <c r="B216" i="33"/>
  <c r="B220" i="33"/>
  <c r="B224" i="33"/>
  <c r="B228" i="33"/>
  <c r="B232" i="33"/>
  <c r="B236" i="33"/>
  <c r="B241" i="33"/>
  <c r="B245" i="33"/>
  <c r="B249" i="33"/>
  <c r="B254" i="33"/>
  <c r="B259" i="33"/>
  <c r="G18" i="39" l="1"/>
  <c r="B24" i="33" s="1"/>
  <c r="G16" i="39"/>
  <c r="B22" i="33" s="1"/>
  <c r="G15" i="39"/>
  <c r="B21" i="33" s="1"/>
  <c r="G14" i="39" l="1"/>
  <c r="B20" i="33" s="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J506" i="39"/>
  <c r="J505" i="39"/>
  <c r="J504" i="39"/>
  <c r="J503" i="39"/>
  <c r="J502" i="39"/>
  <c r="J501" i="39"/>
  <c r="J500" i="39"/>
  <c r="J499" i="39"/>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J261" i="39"/>
  <c r="J260" i="39"/>
  <c r="J259" i="39"/>
  <c r="J258" i="39"/>
  <c r="J257" i="39"/>
  <c r="J256" i="39"/>
  <c r="J255" i="39"/>
  <c r="J254" i="39"/>
  <c r="G258" i="39"/>
  <c r="G13" i="39"/>
  <c r="B19" i="33" s="1"/>
  <c r="G12" i="39"/>
  <c r="B18" i="33" s="1"/>
  <c r="G11" i="39"/>
  <c r="B17" i="33" s="1"/>
  <c r="G10" i="39"/>
  <c r="B16" i="33" s="1"/>
  <c r="G8" i="39"/>
  <c r="G9" i="39"/>
  <c r="B15" i="33" s="1"/>
  <c r="K1" i="39" l="1"/>
  <c r="J4" i="39"/>
  <c r="B260" i="35"/>
  <c r="B14" i="33"/>
  <c r="B132" i="35"/>
  <c r="B196" i="35"/>
  <c r="B68" i="35"/>
  <c r="B36" i="35"/>
  <c r="B84" i="35"/>
  <c r="B100" i="35"/>
  <c r="B116" i="35"/>
  <c r="B148" i="35"/>
  <c r="B164" i="35"/>
  <c r="B180" i="35"/>
  <c r="B212" i="35"/>
  <c r="B228" i="35"/>
  <c r="B244" i="35"/>
  <c r="B20" i="35"/>
  <c r="B48" i="35"/>
  <c r="B52" i="35"/>
  <c r="B96" i="35"/>
  <c r="B112" i="35"/>
  <c r="B128" i="35"/>
  <c r="B144" i="35"/>
  <c r="B160" i="35"/>
  <c r="B176" i="35"/>
  <c r="B192" i="35"/>
  <c r="B208" i="35"/>
  <c r="B224" i="35"/>
  <c r="B240" i="35"/>
  <c r="B256" i="35"/>
  <c r="B16" i="35"/>
  <c r="B32" i="35"/>
  <c r="B64" i="35"/>
  <c r="B80" i="35"/>
  <c r="B40" i="35"/>
  <c r="B44" i="35"/>
  <c r="B56" i="35"/>
  <c r="B60" i="35"/>
  <c r="B72" i="35"/>
  <c r="B76" i="35"/>
  <c r="B88" i="35"/>
  <c r="B92" i="35"/>
  <c r="B104" i="35"/>
  <c r="B108" i="35"/>
  <c r="B120" i="35"/>
  <c r="B124" i="35"/>
  <c r="B136" i="35"/>
  <c r="B140" i="35"/>
  <c r="B152" i="35"/>
  <c r="B156" i="35"/>
  <c r="B168" i="35"/>
  <c r="B172" i="35"/>
  <c r="B184" i="35"/>
  <c r="B188" i="35"/>
  <c r="B200" i="35"/>
  <c r="B204" i="35"/>
  <c r="B216" i="35"/>
  <c r="B220" i="35"/>
  <c r="B232" i="35"/>
  <c r="B236" i="35"/>
  <c r="B248" i="35"/>
  <c r="B252" i="35"/>
  <c r="B24" i="35"/>
  <c r="B28" i="35"/>
  <c r="B15" i="35"/>
  <c r="B19" i="35"/>
  <c r="B23" i="35"/>
  <c r="B27" i="35"/>
  <c r="B31" i="35"/>
  <c r="B35" i="35"/>
  <c r="B39" i="35"/>
  <c r="B43" i="35"/>
  <c r="B47" i="35"/>
  <c r="B51" i="35"/>
  <c r="B55" i="35"/>
  <c r="B59" i="35"/>
  <c r="B63" i="35"/>
  <c r="B67" i="35"/>
  <c r="B71" i="35"/>
  <c r="B75" i="35"/>
  <c r="B79" i="35"/>
  <c r="B83" i="35"/>
  <c r="B87" i="35"/>
  <c r="B91" i="35"/>
  <c r="B95" i="35"/>
  <c r="B99" i="35"/>
  <c r="B103" i="35"/>
  <c r="B107" i="35"/>
  <c r="B111" i="35"/>
  <c r="B115" i="35"/>
  <c r="B119" i="35"/>
  <c r="B123" i="35"/>
  <c r="B127" i="35"/>
  <c r="B131" i="35"/>
  <c r="B135" i="35"/>
  <c r="B139" i="35"/>
  <c r="B143" i="35"/>
  <c r="B147" i="35"/>
  <c r="B151" i="35"/>
  <c r="B155" i="35"/>
  <c r="B159" i="35"/>
  <c r="B163" i="35"/>
  <c r="B167" i="35"/>
  <c r="B171" i="35"/>
  <c r="B175" i="35"/>
  <c r="B179" i="35"/>
  <c r="B183" i="35"/>
  <c r="B187" i="35"/>
  <c r="B191" i="35"/>
  <c r="B195" i="35"/>
  <c r="B199" i="35"/>
  <c r="B203" i="35"/>
  <c r="B207" i="35"/>
  <c r="B211" i="35"/>
  <c r="B215" i="35"/>
  <c r="B219" i="35"/>
  <c r="B223" i="35"/>
  <c r="B227" i="35"/>
  <c r="B231" i="35"/>
  <c r="B235" i="35"/>
  <c r="B239" i="35"/>
  <c r="B243" i="35"/>
  <c r="B247" i="35"/>
  <c r="B251" i="35"/>
  <c r="B255" i="35"/>
  <c r="B259" i="35"/>
  <c r="B263" i="35"/>
  <c r="B18" i="35"/>
  <c r="B22" i="35"/>
  <c r="B26" i="35"/>
  <c r="B30" i="35"/>
  <c r="B34" i="35"/>
  <c r="B38" i="35"/>
  <c r="B42" i="35"/>
  <c r="B46" i="35"/>
  <c r="B50" i="35"/>
  <c r="B54" i="35"/>
  <c r="B58" i="35"/>
  <c r="B62" i="35"/>
  <c r="B66" i="35"/>
  <c r="B70" i="35"/>
  <c r="B74" i="35"/>
  <c r="B78" i="35"/>
  <c r="B82" i="35"/>
  <c r="B86" i="35"/>
  <c r="B90" i="35"/>
  <c r="B94" i="35"/>
  <c r="B98" i="35"/>
  <c r="B102" i="35"/>
  <c r="B106" i="35"/>
  <c r="B110" i="35"/>
  <c r="B114" i="35"/>
  <c r="B118" i="35"/>
  <c r="B122" i="35"/>
  <c r="B126" i="35"/>
  <c r="B130" i="35"/>
  <c r="B134" i="35"/>
  <c r="B138" i="35"/>
  <c r="B142" i="35"/>
  <c r="B146" i="35"/>
  <c r="B150" i="35"/>
  <c r="B154" i="35"/>
  <c r="B158" i="35"/>
  <c r="B162" i="35"/>
  <c r="B166" i="35"/>
  <c r="B170" i="35"/>
  <c r="B174" i="35"/>
  <c r="B178" i="35"/>
  <c r="B182" i="35"/>
  <c r="B186" i="35"/>
  <c r="B190" i="35"/>
  <c r="B194" i="35"/>
  <c r="B198" i="35"/>
  <c r="B202" i="35"/>
  <c r="B206" i="35"/>
  <c r="B210" i="35"/>
  <c r="B214" i="35"/>
  <c r="B218" i="35"/>
  <c r="B222" i="35"/>
  <c r="B226" i="35"/>
  <c r="B230" i="35"/>
  <c r="B234" i="35"/>
  <c r="B238" i="35"/>
  <c r="B242" i="35"/>
  <c r="B246" i="35"/>
  <c r="B250" i="35"/>
  <c r="B254" i="35"/>
  <c r="B258" i="35"/>
  <c r="B262" i="35"/>
  <c r="B17" i="35"/>
  <c r="B21" i="35"/>
  <c r="B25" i="35"/>
  <c r="B29" i="35"/>
  <c r="B33" i="35"/>
  <c r="B37" i="35"/>
  <c r="B41" i="35"/>
  <c r="B45" i="35"/>
  <c r="B49" i="35"/>
  <c r="B53" i="35"/>
  <c r="B57" i="35"/>
  <c r="B61" i="35"/>
  <c r="B65" i="35"/>
  <c r="B69" i="35"/>
  <c r="B73" i="35"/>
  <c r="B77" i="35"/>
  <c r="B81" i="35"/>
  <c r="B85" i="35"/>
  <c r="B89" i="35"/>
  <c r="B93" i="35"/>
  <c r="B97" i="35"/>
  <c r="B101" i="35"/>
  <c r="B105" i="35"/>
  <c r="B109" i="35"/>
  <c r="B113" i="35"/>
  <c r="B117" i="35"/>
  <c r="B121" i="35"/>
  <c r="B125" i="35"/>
  <c r="B129" i="35"/>
  <c r="B133" i="35"/>
  <c r="B137" i="35"/>
  <c r="B141" i="35"/>
  <c r="B145" i="35"/>
  <c r="B149" i="35"/>
  <c r="B153" i="35"/>
  <c r="B157" i="35"/>
  <c r="B161" i="35"/>
  <c r="B165" i="35"/>
  <c r="B169" i="35"/>
  <c r="B173" i="35"/>
  <c r="B177" i="35"/>
  <c r="B181" i="35"/>
  <c r="B185" i="35"/>
  <c r="B189" i="35"/>
  <c r="B193" i="35"/>
  <c r="B197" i="35"/>
  <c r="B201" i="35"/>
  <c r="B205" i="35"/>
  <c r="B209" i="35"/>
  <c r="B213" i="35"/>
  <c r="B217" i="35"/>
  <c r="B221" i="35"/>
  <c r="B225" i="35"/>
  <c r="B229" i="35"/>
  <c r="B233" i="35"/>
  <c r="B237" i="35"/>
  <c r="B241" i="35"/>
  <c r="B245" i="35"/>
  <c r="B249" i="35"/>
  <c r="B253" i="35"/>
  <c r="B257" i="35"/>
  <c r="B261" i="35"/>
  <c r="B14" i="35"/>
  <c r="C7" i="6" l="1"/>
  <c r="D42" i="39"/>
  <c r="D41" i="39"/>
  <c r="D39" i="39"/>
  <c r="D38" i="39"/>
  <c r="D37" i="39"/>
  <c r="D35" i="39"/>
  <c r="D32" i="39"/>
  <c r="D27" i="39"/>
  <c r="D26" i="39"/>
  <c r="D25" i="39"/>
  <c r="D24" i="39"/>
  <c r="D40" i="39"/>
  <c r="D36" i="39"/>
  <c r="D34" i="39"/>
  <c r="D33" i="39"/>
  <c r="D31" i="39"/>
  <c r="D30" i="39"/>
  <c r="D29" i="39"/>
  <c r="D28" i="39"/>
  <c r="D23" i="39"/>
  <c r="D22" i="39"/>
  <c r="D21" i="39"/>
  <c r="D20" i="39"/>
  <c r="D19" i="39"/>
  <c r="D18" i="39"/>
  <c r="D17" i="39"/>
  <c r="D16" i="39"/>
  <c r="D15" i="39"/>
  <c r="D14" i="39"/>
  <c r="D13" i="39"/>
  <c r="D12" i="39"/>
  <c r="D11" i="39"/>
  <c r="D10" i="39"/>
  <c r="D9" i="39"/>
  <c r="D8" i="39"/>
  <c r="A30" i="39" l="1"/>
  <c r="A32" i="39"/>
  <c r="A31" i="39"/>
  <c r="A29" i="39"/>
  <c r="A28" i="39"/>
  <c r="A27" i="39"/>
  <c r="A26" i="39"/>
  <c r="A25" i="39"/>
  <c r="A24" i="39"/>
  <c r="A23" i="39"/>
  <c r="D7" i="39"/>
  <c r="G5" i="39"/>
  <c r="A9" i="39"/>
  <c r="A12" i="39"/>
  <c r="A10" i="39"/>
  <c r="B1" i="39" s="1"/>
  <c r="A7" i="39"/>
  <c r="A6" i="39"/>
  <c r="A5" i="39"/>
  <c r="H1" i="39" l="1"/>
  <c r="L2" i="33" s="1"/>
  <c r="G4" i="39"/>
  <c r="O2" i="3"/>
  <c r="A4" i="39"/>
  <c r="A2" i="39" s="1"/>
  <c r="D5" i="39"/>
  <c r="P9" i="39"/>
  <c r="P8" i="39"/>
  <c r="M21" i="39"/>
  <c r="P7" i="39"/>
  <c r="Q1" i="39" s="1"/>
  <c r="M20" i="39"/>
  <c r="M19" i="39"/>
  <c r="M18" i="39"/>
  <c r="L2" i="35"/>
  <c r="M2" i="3" l="1"/>
  <c r="D25" i="5"/>
  <c r="E1" i="39"/>
  <c r="M17" i="39"/>
  <c r="M2" i="39" s="1"/>
  <c r="D20" i="5" l="1"/>
  <c r="G2" i="37"/>
  <c r="M4" i="39"/>
  <c r="N1" i="39"/>
  <c r="H2" i="37" s="1"/>
  <c r="P11" i="39" l="1"/>
  <c r="P10" i="39"/>
  <c r="G2" i="6" l="1"/>
  <c r="P4" i="39"/>
  <c r="P2" i="39" s="1"/>
  <c r="F2" i="6" l="1"/>
  <c r="D21" i="5"/>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D120" i="39" l="1"/>
  <c r="I2" i="1" l="1"/>
  <c r="D4" i="39"/>
  <c r="D2" i="39" s="1"/>
  <c r="G2" i="39"/>
  <c r="H2" i="1" l="1"/>
  <c r="D22" i="5"/>
  <c r="D23" i="5"/>
  <c r="K2" i="33"/>
  <c r="E9" i="3" l="1"/>
  <c r="H21" i="5"/>
  <c r="J2" i="39" l="1"/>
  <c r="D24" i="5" l="1"/>
  <c r="K2" i="35"/>
  <c r="D15" i="37"/>
  <c r="E10" i="3" l="1"/>
  <c r="E15" i="3" l="1"/>
  <c r="U7" i="3"/>
  <c r="E8" i="3" l="1"/>
  <c r="E7" i="3"/>
  <c r="D10" i="1" l="1"/>
  <c r="D9" i="1"/>
  <c r="D8" i="1"/>
  <c r="G21" i="6" l="1"/>
  <c r="E20" i="6"/>
  <c r="E19" i="6"/>
  <c r="E18" i="6"/>
  <c r="E17" i="6"/>
  <c r="E16" i="6"/>
  <c r="E15" i="6"/>
  <c r="E14" i="6"/>
  <c r="E13" i="6"/>
  <c r="E12" i="6"/>
  <c r="E11" i="6"/>
  <c r="E10" i="6"/>
  <c r="E9" i="6"/>
  <c r="E8" i="6"/>
  <c r="E7" i="6"/>
  <c r="E6" i="6"/>
  <c r="F24" i="1"/>
</calcChain>
</file>

<file path=xl/sharedStrings.xml><?xml version="1.0" encoding="utf-8"?>
<sst xmlns="http://schemas.openxmlformats.org/spreadsheetml/2006/main" count="9025" uniqueCount="2439">
  <si>
    <t>Waste type description</t>
  </si>
  <si>
    <t>Package type</t>
  </si>
  <si>
    <t>Packing group</t>
  </si>
  <si>
    <t>SECURITY</t>
  </si>
  <si>
    <t>Port facility</t>
  </si>
  <si>
    <t>Latitude</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</si>
  <si>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</si>
  <si>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</si>
  <si>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</si>
  <si>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</si>
  <si>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</si>
  <si>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</si>
  <si>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</si>
  <si>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</si>
  <si>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</si>
  <si>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</si>
  <si>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</si>
  <si>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</si>
  <si>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</si>
  <si>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</si>
  <si>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</si>
  <si>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</si>
  <si>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</si>
  <si>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</si>
  <si>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</si>
  <si>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</si>
  <si>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</si>
  <si>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</si>
  <si>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</si>
  <si>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</si>
  <si>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</si>
  <si>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</si>
  <si>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</si>
  <si>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</si>
  <si>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</si>
  <si>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</si>
  <si>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</si>
  <si>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</si>
  <si>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</si>
  <si>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</si>
  <si>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</si>
  <si>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</si>
  <si>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</si>
  <si>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</si>
  <si>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</si>
  <si>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</si>
  <si>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</si>
  <si>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</si>
  <si>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</si>
  <si>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</si>
  <si>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</si>
  <si>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</si>
  <si>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</si>
  <si>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</si>
  <si>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</si>
  <si>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</si>
  <si>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</si>
  <si>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</si>
  <si>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</si>
  <si>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</si>
  <si>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</si>
  <si>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</si>
  <si>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</si>
  <si>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</si>
  <si>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</si>
  <si>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</si>
  <si>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</si>
  <si>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</si>
  <si>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</si>
  <si>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</si>
  <si>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</si>
  <si>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</si>
  <si>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</si>
  <si>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</si>
  <si>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</si>
  <si>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</si>
  <si>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</si>
  <si>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</si>
  <si>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</si>
  <si>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</si>
  <si>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</si>
  <si>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</si>
  <si>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</si>
  <si>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</si>
  <si>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</si>
  <si>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</si>
  <si>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</si>
  <si>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</si>
  <si>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</si>
  <si>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</si>
  <si>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</si>
  <si>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</si>
  <si>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</si>
  <si>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</si>
  <si>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</si>
  <si>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</si>
  <si>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</si>
  <si>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</si>
  <si>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</si>
  <si>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</si>
  <si>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</si>
  <si>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</si>
  <si>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</si>
  <si>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</si>
  <si>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</si>
  <si>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</si>
  <si>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</si>
  <si>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</si>
  <si>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</si>
  <si>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</si>
  <si>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</si>
  <si>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</si>
  <si>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</si>
  <si>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</si>
  <si>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</si>
  <si>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</si>
  <si>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</si>
  <si>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</si>
  <si>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</si>
  <si>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</si>
  <si>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</si>
  <si>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</si>
  <si>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</si>
  <si>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</si>
  <si>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</si>
  <si>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</si>
  <si>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</si>
  <si>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</si>
  <si>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</si>
  <si>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</si>
  <si>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</si>
  <si>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</si>
  <si>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</si>
  <si>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</si>
  <si>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</si>
  <si>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</si>
  <si>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</si>
  <si>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</si>
  <si>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</si>
  <si>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</si>
  <si>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</si>
  <si>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</si>
  <si>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</si>
  <si>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</si>
  <si>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</si>
  <si>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</si>
  <si>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</si>
  <si>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</si>
  <si>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</si>
  <si>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</si>
  <si>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</si>
  <si>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</si>
  <si>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</si>
  <si>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</si>
  <si>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</si>
  <si>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</si>
  <si>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</si>
  <si>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</si>
  <si>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</si>
  <si>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</si>
  <si>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</si>
  <si>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</si>
  <si>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</si>
  <si>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</si>
  <si>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</si>
  <si>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</si>
  <si>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</si>
  <si>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</si>
  <si>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</si>
  <si>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</si>
  <si>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</si>
  <si>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</si>
  <si>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</si>
  <si>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</si>
  <si>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</si>
  <si>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</si>
  <si>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</si>
  <si>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</si>
  <si>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</si>
  <si>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</si>
  <si>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</si>
  <si>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</si>
  <si>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</si>
  <si>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</si>
  <si>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</si>
  <si>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</si>
  <si>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</si>
  <si>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</si>
  <si>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</si>
  <si>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</si>
  <si>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</si>
  <si>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</si>
  <si>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</si>
  <si>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</si>
  <si>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</si>
  <si>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</si>
  <si>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</si>
  <si>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</si>
  <si>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</si>
  <si>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</si>
  <si>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</si>
  <si>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</si>
  <si>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</si>
  <si>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</si>
  <si>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</si>
  <si>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</si>
  <si>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</si>
  <si>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</si>
  <si>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</si>
  <si>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</si>
  <si>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</si>
  <si>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</si>
  <si>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</si>
  <si>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</si>
  <si>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</si>
  <si>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</si>
  <si>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</si>
  <si>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</si>
  <si>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</si>
  <si>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</si>
  <si>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</si>
  <si>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</si>
  <si>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</si>
  <si>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</si>
  <si>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</si>
  <si>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</si>
  <si>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</si>
  <si>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</si>
  <si>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</si>
  <si>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</si>
  <si>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</si>
  <si>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</si>
  <si>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</si>
  <si>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</si>
  <si>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</si>
  <si>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</si>
  <si>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</si>
  <si>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</si>
  <si>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</si>
  <si>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</si>
  <si>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</si>
  <si>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</si>
  <si>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</si>
  <si>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</si>
  <si>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</si>
  <si>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</si>
  <si>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</si>
  <si>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</si>
  <si>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</si>
  <si>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</si>
  <si>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</si>
  <si>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</si>
  <si>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</si>
  <si>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</si>
  <si>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</si>
  <si>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</si>
  <si>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</si>
  <si>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</si>
  <si>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</si>
  <si>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</si>
  <si>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</si>
  <si>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</si>
  <si>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</si>
  <si>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</si>
  <si>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</si>
  <si>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</si>
  <si>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</si>
  <si>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</si>
  <si>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</si>
  <si>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</si>
  <si>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</si>
  <si>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</si>
  <si>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</si>
  <si>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</si>
  <si>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</si>
  <si>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</si>
  <si>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</si>
  <si>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</si>
  <si>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</si>
  <si>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</si>
  <si>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</si>
  <si>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</si>
  <si>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</si>
  <si>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</si>
  <si>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</si>
  <si>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</si>
  <si>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</si>
  <si>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</si>
  <si>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</si>
  <si>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</si>
  <si>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</si>
  <si>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</si>
  <si>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</si>
  <si>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</si>
  <si>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</si>
  <si>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</si>
  <si>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</si>
  <si>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</si>
  <si>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</si>
  <si>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</si>
  <si>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</si>
  <si>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</si>
  <si>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</si>
  <si>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</si>
  <si>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</si>
  <si>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</si>
  <si>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</si>
  <si>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</si>
  <si>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</si>
  <si>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</si>
  <si>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</si>
  <si>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</si>
  <si>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</si>
  <si>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</si>
  <si>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</si>
  <si>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</si>
  <si>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</si>
  <si>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</si>
  <si>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</si>
  <si>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</si>
  <si>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</si>
  <si>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</si>
  <si>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</si>
  <si>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</si>
  <si>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</si>
  <si>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</si>
  <si>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</si>
  <si>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</si>
  <si>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</si>
  <si>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</si>
  <si>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</si>
  <si>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</si>
  <si>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</si>
  <si>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</si>
  <si>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</si>
  <si>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</si>
  <si>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</si>
  <si>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</si>
  <si>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</si>
  <si>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</si>
  <si>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</si>
  <si>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</si>
  <si>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</si>
  <si>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</si>
  <si>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</si>
  <si>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</si>
  <si>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</si>
  <si>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</si>
  <si>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</si>
  <si>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</si>
  <si>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</si>
  <si>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</si>
  <si>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</si>
  <si>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</si>
  <si>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</si>
  <si>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</si>
  <si>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</si>
  <si>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</si>
  <si>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</si>
  <si>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</si>
  <si>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</si>
  <si>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</si>
  <si>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</si>
  <si>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</si>
  <si>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</si>
  <si>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</si>
  <si>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</si>
  <si>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</si>
  <si>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</si>
  <si>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</si>
  <si>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</si>
  <si>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</si>
  <si>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</si>
  <si>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</si>
  <si>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</si>
  <si>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</si>
  <si>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</si>
  <si>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</si>
  <si>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</si>
  <si>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</si>
  <si>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</si>
  <si>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</si>
  <si>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</si>
  <si>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</si>
  <si>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</si>
  <si>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</si>
  <si>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</si>
  <si>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</si>
  <si>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</si>
  <si>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</si>
  <si>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</si>
  <si>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</si>
  <si>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</si>
  <si>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</si>
  <si>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</si>
  <si>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</si>
  <si>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</si>
  <si>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</si>
  <si>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</si>
  <si>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</si>
  <si>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</si>
  <si>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</si>
  <si>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</si>
  <si>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</si>
  <si>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</si>
  <si>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</si>
  <si>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</si>
  <si>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</si>
  <si>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</si>
  <si>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</si>
  <si>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</si>
  <si>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</si>
  <si>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</si>
  <si>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</si>
  <si>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</si>
  <si>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</si>
  <si>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</si>
  <si>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</si>
  <si>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</si>
  <si>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</si>
  <si>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</si>
  <si>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</si>
  <si>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</si>
  <si>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</si>
  <si>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</si>
  <si>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</si>
  <si>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</si>
  <si>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</si>
  <si>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</si>
  <si>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</si>
  <si>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</si>
  <si>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</si>
  <si>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</si>
  <si>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</si>
  <si>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</si>
  <si>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</si>
  <si>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</si>
  <si>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</si>
  <si>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</si>
  <si>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</si>
  <si>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</si>
  <si>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</si>
  <si>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</si>
  <si>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</si>
  <si>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</si>
  <si>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</si>
  <si>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</si>
  <si>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</si>
  <si>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</si>
  <si>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</si>
  <si>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</si>
  <si>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</si>
  <si>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</si>
  <si>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</si>
  <si>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</si>
  <si>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</si>
  <si>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</si>
  <si>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</si>
  <si>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</si>
  <si>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</si>
  <si>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</si>
  <si>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</si>
  <si>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</si>
  <si>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</si>
  <si>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</si>
  <si>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</si>
  <si>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</si>
  <si>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</si>
  <si>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</si>
  <si>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</si>
  <si>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</si>
  <si>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</si>
  <si>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</si>
  <si>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</si>
  <si>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</si>
  <si>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</si>
  <si>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</si>
  <si>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</si>
  <si>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</si>
  <si>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</si>
  <si>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</si>
  <si>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</si>
  <si>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</si>
  <si>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</si>
  <si>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</si>
  <si>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</si>
  <si>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</si>
  <si>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</si>
  <si>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</si>
  <si>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</si>
  <si>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</si>
  <si>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</si>
  <si>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</si>
  <si>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</si>
  <si>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</si>
  <si>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</si>
  <si>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</si>
  <si>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</si>
  <si>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</si>
  <si>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</si>
  <si>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</si>
  <si>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</si>
  <si>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</si>
  <si>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</si>
  <si>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</si>
  <si>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</si>
  <si>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</si>
  <si>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</si>
  <si>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</si>
  <si>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</si>
  <si>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</si>
  <si>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</si>
  <si>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</si>
  <si>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</si>
  <si>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</si>
  <si>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</si>
  <si>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</si>
  <si>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</si>
  <si>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</si>
  <si>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</si>
  <si>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</si>
  <si>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</si>
  <si>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</si>
  <si>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</si>
  <si>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</si>
  <si>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</si>
  <si>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</si>
  <si>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</si>
  <si>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</si>
  <si>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</si>
  <si>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</si>
  <si>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</si>
  <si>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</si>
  <si>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</si>
  <si>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</si>
  <si>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</si>
  <si>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</si>
  <si>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</si>
  <si>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</si>
  <si>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</si>
  <si>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</si>
  <si>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</si>
  <si>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</si>
  <si>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</si>
  <si>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</si>
  <si>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</si>
  <si>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</si>
  <si>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</si>
  <si>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</si>
  <si>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</si>
  <si>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</si>
  <si>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</si>
  <si>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</si>
  <si>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</si>
  <si>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</si>
  <si>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</si>
  <si>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</si>
  <si>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</si>
  <si>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</si>
  <si>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</si>
  <si>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</si>
  <si>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</si>
  <si>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</si>
  <si>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</si>
  <si>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</si>
  <si>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</si>
  <si>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</si>
  <si>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</si>
  <si>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</si>
  <si>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</si>
  <si>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</si>
  <si>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</si>
  <si>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</si>
  <si>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</si>
  <si>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</si>
  <si>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</si>
  <si>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</si>
  <si>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</si>
  <si>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</si>
  <si>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</si>
  <si>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</si>
  <si>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</si>
  <si>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</si>
  <si>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</si>
  <si>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</si>
  <si>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</si>
  <si>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</si>
  <si>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</si>
  <si>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</si>
  <si>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</si>
  <si>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</si>
  <si>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Outgoing Hazmat</t>
  </si>
  <si>
    <t>Incoming Hazmat</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</si>
  <si>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</si>
  <si>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</si>
  <si>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</si>
  <si>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</si>
  <si>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</si>
  <si>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</si>
  <si>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</si>
  <si>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</si>
  <si>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</si>
  <si>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</si>
  <si>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</si>
  <si>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</si>
  <si>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</si>
  <si>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</si>
  <si>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</si>
  <si>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</si>
  <si>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</si>
  <si>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</si>
  <si>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</si>
  <si>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</si>
  <si>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</si>
  <si>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</si>
  <si>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</si>
  <si>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</si>
  <si>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</si>
  <si>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</si>
  <si>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</si>
  <si>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</si>
  <si>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</si>
  <si>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</si>
  <si>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</si>
  <si>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</si>
  <si>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</si>
  <si>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</si>
  <si>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</si>
  <si>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</si>
  <si>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</si>
  <si>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</si>
  <si>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</si>
  <si>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</si>
  <si>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</si>
  <si>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</si>
  <si>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</si>
  <si>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</si>
  <si>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</si>
  <si>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</si>
  <si>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</si>
  <si>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</si>
  <si>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</si>
  <si>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</si>
  <si>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</si>
  <si>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</si>
  <si>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</si>
  <si>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</si>
  <si>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</si>
  <si>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</si>
  <si>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</si>
  <si>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</si>
  <si>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</si>
  <si>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</si>
  <si>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</si>
  <si>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</si>
  <si>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</si>
  <si>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</si>
  <si>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</si>
  <si>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</si>
  <si>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</si>
  <si>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</si>
  <si>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</si>
  <si>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</si>
  <si>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</si>
  <si>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</si>
  <si>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</si>
  <si>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</si>
  <si>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</si>
  <si>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</si>
  <si>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</si>
  <si>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</si>
  <si>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</si>
  <si>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</si>
  <si>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</si>
  <si>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</si>
  <si>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</si>
  <si>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</si>
  <si>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Contact MCA (email)</t>
  </si>
  <si>
    <t>MCA website</t>
  </si>
  <si>
    <t>https://www.gov.uk/government/organisations/maritime-and-coastguard-agency</t>
  </si>
  <si>
    <t>Contact IB Boost (email)</t>
  </si>
  <si>
    <t>cers@ibboost.com</t>
  </si>
  <si>
    <t>Contact IB Boost (phone)</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</si>
  <si>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</si>
  <si>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</si>
  <si>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</si>
  <si>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</si>
  <si>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</si>
  <si>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</si>
  <si>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</si>
  <si>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</si>
  <si>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</si>
  <si>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</si>
  <si>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</si>
  <si>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</si>
  <si>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</si>
  <si>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</si>
  <si>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Waste item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</si>
  <si>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</si>
  <si>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</si>
  <si>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</si>
  <si>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</si>
  <si>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</si>
  <si>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r>
      <t xml:space="preserve">This Excel workbook is for use in conjunction with the UK Maritime and Coastguard Agency's Consolidated European Reporting System version 3 (CERS 3) for the submission of SafeSeaNet v3-compliant voyage notifications relating to maritime vessel voyages visiting UK ports. This extended schema includes support for Waste and Security forms in addition to other changes from version 2.
This workbook is designed to be used offline and uploaded into CERS via either the web application interface or via SOAP web services (embedded into the XML message).
</t>
    </r>
    <r>
      <rPr>
        <b/>
        <sz val="10"/>
        <color theme="1" tint="0.14993743705557422"/>
        <rFont val="Arial"/>
        <family val="2"/>
      </rPr>
      <t>IMPORTANT:</t>
    </r>
    <r>
      <rPr>
        <sz val="10"/>
        <color theme="1" tint="0.14993743705557422"/>
        <rFont val="Arial"/>
        <family val="2"/>
      </rPr>
      <t xml:space="preserve"> Please read the full usage instructions at the bottom of this sheet before using this workbook and contact the CERS team using the contact details on the right for any queries.
</t>
    </r>
  </si>
  <si>
    <t>CERS 3: PortPlus Offline Excel Voyage Form</t>
  </si>
  <si>
    <t>cers@mcga.gov.uk</t>
  </si>
  <si>
    <t>Document Template Information</t>
  </si>
  <si>
    <t>Version date</t>
  </si>
  <si>
    <t>Template last edited by</t>
  </si>
  <si>
    <t>IB Boost Ltd</t>
  </si>
  <si>
    <t>NOTES</t>
  </si>
  <si>
    <t>Falmouth</t>
  </si>
  <si>
    <t>Ardrossan</t>
  </si>
  <si>
    <t>Greenock</t>
  </si>
  <si>
    <t>Ipswich</t>
  </si>
  <si>
    <t>Padstow</t>
  </si>
  <si>
    <t>Perth</t>
  </si>
  <si>
    <t>Portland</t>
  </si>
  <si>
    <t>Aruba</t>
  </si>
  <si>
    <t>Southampton</t>
  </si>
  <si>
    <t>Puerto Rico</t>
  </si>
  <si>
    <t>Chatham</t>
  </si>
  <si>
    <t>Liverpool</t>
  </si>
  <si>
    <t>Weymouth</t>
  </si>
  <si>
    <t>Whitby</t>
  </si>
  <si>
    <t>Togo</t>
  </si>
  <si>
    <t>Curaçao</t>
  </si>
  <si>
    <t>Djibouti</t>
  </si>
  <si>
    <t>Belfast</t>
  </si>
  <si>
    <t>Portsmouth</t>
  </si>
  <si>
    <t>GBARC</t>
  </si>
  <si>
    <t>Abercastle</t>
  </si>
  <si>
    <t>GBABD</t>
  </si>
  <si>
    <t>Aberdeen</t>
  </si>
  <si>
    <t>GBAHN</t>
  </si>
  <si>
    <t>GBAMR</t>
  </si>
  <si>
    <t>GBADM</t>
  </si>
  <si>
    <t>GBAMW</t>
  </si>
  <si>
    <t>Amlwch</t>
  </si>
  <si>
    <t>GBAPP</t>
  </si>
  <si>
    <t>Appledore</t>
  </si>
  <si>
    <t>GBAMH</t>
  </si>
  <si>
    <t>Ardmaleish</t>
  </si>
  <si>
    <t>GBGIG</t>
  </si>
  <si>
    <t>Ardminish, Gigha Island</t>
  </si>
  <si>
    <t>GBASG</t>
  </si>
  <si>
    <t>GBARD</t>
  </si>
  <si>
    <t>GBARV</t>
  </si>
  <si>
    <t>GBAGO</t>
  </si>
  <si>
    <t>GBAMD</t>
  </si>
  <si>
    <t>GBAUL</t>
  </si>
  <si>
    <t>GBAVO</t>
  </si>
  <si>
    <t>Avonmouth</t>
  </si>
  <si>
    <t>GBAYR</t>
  </si>
  <si>
    <t>Ayr</t>
  </si>
  <si>
    <t>GBION</t>
  </si>
  <si>
    <t>GBBLR</t>
  </si>
  <si>
    <t>Ballylumford</t>
  </si>
  <si>
    <t>GBBSN</t>
  </si>
  <si>
    <t>GBBAW</t>
  </si>
  <si>
    <t>GBBAN</t>
  </si>
  <si>
    <t>GBBKG</t>
  </si>
  <si>
    <t>GBBIF</t>
  </si>
  <si>
    <t>Barrow in Furness</t>
  </si>
  <si>
    <t>GBBHR</t>
  </si>
  <si>
    <t>GBBAD</t>
  </si>
  <si>
    <t>GBBMR</t>
  </si>
  <si>
    <t>Beaumaris</t>
  </si>
  <si>
    <t>GBBEL</t>
  </si>
  <si>
    <t>GBBMT</t>
  </si>
  <si>
    <t>GBBWK</t>
  </si>
  <si>
    <t>GBBID</t>
  </si>
  <si>
    <t>Bideford</t>
  </si>
  <si>
    <t>GBBRK</t>
  </si>
  <si>
    <t>Birkenhead</t>
  </si>
  <si>
    <t>GBBLJ</t>
  </si>
  <si>
    <t>Blairmore</t>
  </si>
  <si>
    <t>GBBLY</t>
  </si>
  <si>
    <t>Blyth</t>
  </si>
  <si>
    <t>GBBOS</t>
  </si>
  <si>
    <t>Boston</t>
  </si>
  <si>
    <t>GBBOH</t>
  </si>
  <si>
    <t>Bournemouth</t>
  </si>
  <si>
    <t>GBBFB</t>
  </si>
  <si>
    <t>Braefoot Bay</t>
  </si>
  <si>
    <t>GBBRW</t>
  </si>
  <si>
    <t>Bridgwater</t>
  </si>
  <si>
    <t>GBBLS</t>
  </si>
  <si>
    <t>Brightlingsea</t>
  </si>
  <si>
    <t>GBBRS</t>
  </si>
  <si>
    <t>Bristol</t>
  </si>
  <si>
    <t>GBBRX</t>
  </si>
  <si>
    <t>Brixham</t>
  </si>
  <si>
    <t>GBBDI</t>
  </si>
  <si>
    <t>GBBHK</t>
  </si>
  <si>
    <t>Bromborough</t>
  </si>
  <si>
    <t>GBBCH</t>
  </si>
  <si>
    <t>GBBRU</t>
  </si>
  <si>
    <t>Bruray, Out Skerries</t>
  </si>
  <si>
    <t>GBBUC</t>
  </si>
  <si>
    <t>Buckie</t>
  </si>
  <si>
    <t>GBBTL</t>
  </si>
  <si>
    <t>Burntisland</t>
  </si>
  <si>
    <t>GBCYN</t>
  </si>
  <si>
    <t>Cairnryan</t>
  </si>
  <si>
    <t>GBCBT</t>
  </si>
  <si>
    <t>Campbeltown</t>
  </si>
  <si>
    <t>GBCNA</t>
  </si>
  <si>
    <t>GBCAN</t>
  </si>
  <si>
    <t>Canvey Island</t>
  </si>
  <si>
    <t>GBCDF</t>
  </si>
  <si>
    <t>Cardiff</t>
  </si>
  <si>
    <t>GBCRA</t>
  </si>
  <si>
    <t>Carradale</t>
  </si>
  <si>
    <t>GBCBA</t>
  </si>
  <si>
    <t>GBCAG</t>
  </si>
  <si>
    <t>GBCTM</t>
  </si>
  <si>
    <t>GBCHT</t>
  </si>
  <si>
    <t>Chepstow</t>
  </si>
  <si>
    <t>GBCST</t>
  </si>
  <si>
    <t>Chichester</t>
  </si>
  <si>
    <t>GBRAS</t>
  </si>
  <si>
    <t>GBCLS</t>
  </si>
  <si>
    <t>Clacton-on-Sea</t>
  </si>
  <si>
    <t>GBCLJ</t>
  </si>
  <si>
    <t>Claonaig</t>
  </si>
  <si>
    <t>GBQZL</t>
  </si>
  <si>
    <t>Clevedon</t>
  </si>
  <si>
    <t>GBCLF</t>
  </si>
  <si>
    <t>Cliffe</t>
  </si>
  <si>
    <t>GBCGP</t>
  </si>
  <si>
    <t>GBCLY</t>
  </si>
  <si>
    <t>Clydebank</t>
  </si>
  <si>
    <t>GBCLR</t>
  </si>
  <si>
    <t>Coleraine</t>
  </si>
  <si>
    <t>GBCAF</t>
  </si>
  <si>
    <t>GBCOR</t>
  </si>
  <si>
    <t>Corpach</t>
  </si>
  <si>
    <t>GBCOY</t>
  </si>
  <si>
    <t>Coryton</t>
  </si>
  <si>
    <t>GBCOW</t>
  </si>
  <si>
    <t>GBCGJ</t>
  </si>
  <si>
    <t>GBCNU</t>
  </si>
  <si>
    <t>Craignure</t>
  </si>
  <si>
    <t>GBCNC</t>
  </si>
  <si>
    <t>GBCMP</t>
  </si>
  <si>
    <t>GBCUV</t>
  </si>
  <si>
    <t>GBCMS</t>
  </si>
  <si>
    <t>GBDAG</t>
  </si>
  <si>
    <t>Dagenham</t>
  </si>
  <si>
    <t>GBDFD</t>
  </si>
  <si>
    <t>Dartford</t>
  </si>
  <si>
    <t>GBDTM</t>
  </si>
  <si>
    <t>Dartmouth</t>
  </si>
  <si>
    <t>GBDET</t>
  </si>
  <si>
    <t>Denton</t>
  </si>
  <si>
    <t>GBDVR</t>
  </si>
  <si>
    <t>Dover</t>
  </si>
  <si>
    <t>GBDRX</t>
  </si>
  <si>
    <t>Drax</t>
  </si>
  <si>
    <t>GBDUN</t>
  </si>
  <si>
    <t>Dundee</t>
  </si>
  <si>
    <t>GBDNU</t>
  </si>
  <si>
    <t>Dunoon</t>
  </si>
  <si>
    <t>GBERI</t>
  </si>
  <si>
    <t>Erith</t>
  </si>
  <si>
    <t>GBEVT</t>
  </si>
  <si>
    <t>Evanton</t>
  </si>
  <si>
    <t>GBEXE</t>
  </si>
  <si>
    <t>Exeter</t>
  </si>
  <si>
    <t>GBFEE</t>
  </si>
  <si>
    <t>Fairlie</t>
  </si>
  <si>
    <t>GBFAL</t>
  </si>
  <si>
    <t>GBFAS</t>
  </si>
  <si>
    <t>Faslane</t>
  </si>
  <si>
    <t>GBFAW</t>
  </si>
  <si>
    <t>Fawley</t>
  </si>
  <si>
    <t>GBFXT</t>
  </si>
  <si>
    <t>Felixstowe</t>
  </si>
  <si>
    <t>GBFEO</t>
  </si>
  <si>
    <t>Feolin Ferry</t>
  </si>
  <si>
    <t>GBFNT</t>
  </si>
  <si>
    <t>Finnart</t>
  </si>
  <si>
    <t>GBFIO</t>
  </si>
  <si>
    <t>GBFBU</t>
  </si>
  <si>
    <t>GBFIS</t>
  </si>
  <si>
    <t>Fishguard</t>
  </si>
  <si>
    <t>GBFNH</t>
  </si>
  <si>
    <t>GBFLE</t>
  </si>
  <si>
    <t>Fleetwood</t>
  </si>
  <si>
    <t>GBFLW</t>
  </si>
  <si>
    <t>Flixborough</t>
  </si>
  <si>
    <t>GBFLH</t>
  </si>
  <si>
    <t>GBFOL</t>
  </si>
  <si>
    <t>Folkestone</t>
  </si>
  <si>
    <t>GBFOY</t>
  </si>
  <si>
    <t>Fowey</t>
  </si>
  <si>
    <t>GBFRB</t>
  </si>
  <si>
    <t>Fraserburgh</t>
  </si>
  <si>
    <t>GBGAR</t>
  </si>
  <si>
    <t>Gairloch</t>
  </si>
  <si>
    <t>GBGAS</t>
  </si>
  <si>
    <t>GBGIS</t>
  </si>
  <si>
    <t>Garlieston</t>
  </si>
  <si>
    <t>Garston</t>
  </si>
  <si>
    <t>GBGTN</t>
  </si>
  <si>
    <t>GBGAT</t>
  </si>
  <si>
    <t>Gateshead</t>
  </si>
  <si>
    <t>GBGIL</t>
  </si>
  <si>
    <t>Gillingham</t>
  </si>
  <si>
    <t>GBILL</t>
  </si>
  <si>
    <t>GBGIR</t>
  </si>
  <si>
    <t>Girvan</t>
  </si>
  <si>
    <t>GBGLW</t>
  </si>
  <si>
    <t>Glasgow</t>
  </si>
  <si>
    <t>GBGLD</t>
  </si>
  <si>
    <t>Glasson Dock</t>
  </si>
  <si>
    <t>GBGSA</t>
  </si>
  <si>
    <t>Glensanda</t>
  </si>
  <si>
    <t>GBGLO</t>
  </si>
  <si>
    <t>Gloucester</t>
  </si>
  <si>
    <t>GBGOO</t>
  </si>
  <si>
    <t>Goole</t>
  </si>
  <si>
    <t>GBGUR</t>
  </si>
  <si>
    <t>Gourock</t>
  </si>
  <si>
    <t>GBGRG</t>
  </si>
  <si>
    <t>Grangemouth</t>
  </si>
  <si>
    <t>GBGVS</t>
  </si>
  <si>
    <t>Gravesend</t>
  </si>
  <si>
    <t>GBGYS</t>
  </si>
  <si>
    <t>Grays</t>
  </si>
  <si>
    <t>GBGOA</t>
  </si>
  <si>
    <t>Great Oakley</t>
  </si>
  <si>
    <t>GBGTY</t>
  </si>
  <si>
    <t>Great Yarmouth</t>
  </si>
  <si>
    <t>GBGRK</t>
  </si>
  <si>
    <t>GBGSY</t>
  </si>
  <si>
    <t>Grimsby</t>
  </si>
  <si>
    <t>GBGRW</t>
  </si>
  <si>
    <t>GBGRJ</t>
  </si>
  <si>
    <t>GBGRU</t>
  </si>
  <si>
    <t>GBGUW</t>
  </si>
  <si>
    <t>Gunness Wharf</t>
  </si>
  <si>
    <t>GBGUT</t>
  </si>
  <si>
    <t>GBHNS</t>
  </si>
  <si>
    <t>GBHMV</t>
  </si>
  <si>
    <t>GBHTP</t>
  </si>
  <si>
    <t>Hartlepool</t>
  </si>
  <si>
    <t>GBHRW</t>
  </si>
  <si>
    <t>GBHSE</t>
  </si>
  <si>
    <t>GBHYM</t>
  </si>
  <si>
    <t>Heysham</t>
  </si>
  <si>
    <t>GBHHN</t>
  </si>
  <si>
    <t>GBHLO</t>
  </si>
  <si>
    <t>Holy Loch</t>
  </si>
  <si>
    <t>GBHLY</t>
  </si>
  <si>
    <t>Holyhead</t>
  </si>
  <si>
    <t>GBHPT</t>
  </si>
  <si>
    <t>Hound Point</t>
  </si>
  <si>
    <t>GBHOV</t>
  </si>
  <si>
    <t>GBHDD</t>
  </si>
  <si>
    <t>GBHWZ</t>
  </si>
  <si>
    <t>GBHUL</t>
  </si>
  <si>
    <t>Hull</t>
  </si>
  <si>
    <t>GBHST</t>
  </si>
  <si>
    <t>Hunterston</t>
  </si>
  <si>
    <t>GBILF</t>
  </si>
  <si>
    <t>Ilfracombe</t>
  </si>
  <si>
    <t>GBIMM</t>
  </si>
  <si>
    <t>Immingham</t>
  </si>
  <si>
    <t>GBIVR</t>
  </si>
  <si>
    <t>Inveraray</t>
  </si>
  <si>
    <t>GBIVG</t>
  </si>
  <si>
    <t>Invergordon</t>
  </si>
  <si>
    <t>GBINR</t>
  </si>
  <si>
    <t>Inverie</t>
  </si>
  <si>
    <t>GBINK</t>
  </si>
  <si>
    <t>Inverkeithing</t>
  </si>
  <si>
    <t>GBINV</t>
  </si>
  <si>
    <t>Inverness</t>
  </si>
  <si>
    <t>GBIPS</t>
  </si>
  <si>
    <t>GBIOG</t>
  </si>
  <si>
    <t>Isle of Grain</t>
  </si>
  <si>
    <t>GBKEA</t>
  </si>
  <si>
    <t>GBKCG</t>
  </si>
  <si>
    <t>Kennacraig</t>
  </si>
  <si>
    <t>GBKOA</t>
  </si>
  <si>
    <t>Kilchoan</t>
  </si>
  <si>
    <t>GBKGH</t>
  </si>
  <si>
    <t>Killingholme</t>
  </si>
  <si>
    <t>GBKLR</t>
  </si>
  <si>
    <t>Kilroot</t>
  </si>
  <si>
    <t>GBKLN</t>
  </si>
  <si>
    <t>GBKNK</t>
  </si>
  <si>
    <t>GBKOH</t>
  </si>
  <si>
    <t>GBKBE</t>
  </si>
  <si>
    <t>Kinlochbervie</t>
  </si>
  <si>
    <t>GBKKD</t>
  </si>
  <si>
    <t>Kirkcaldy</t>
  </si>
  <si>
    <t>GBKBT</t>
  </si>
  <si>
    <t>Kirkcudbright</t>
  </si>
  <si>
    <t>GBKWL</t>
  </si>
  <si>
    <t>GBKIS</t>
  </si>
  <si>
    <t>Kishorn</t>
  </si>
  <si>
    <t>GBKYL</t>
  </si>
  <si>
    <t>Kyle of Lochalsh</t>
  </si>
  <si>
    <t>GBLAN</t>
  </si>
  <si>
    <t>Lancaster</t>
  </si>
  <si>
    <t>GBLSH</t>
  </si>
  <si>
    <t>GBLGS</t>
  </si>
  <si>
    <t>Largs</t>
  </si>
  <si>
    <t>GBLAR</t>
  </si>
  <si>
    <t>Larne</t>
  </si>
  <si>
    <t>GBLAX</t>
  </si>
  <si>
    <t>GBLEI</t>
  </si>
  <si>
    <t>Leith</t>
  </si>
  <si>
    <t>GBLER</t>
  </si>
  <si>
    <t>GBLVR</t>
  </si>
  <si>
    <t>GBLTL</t>
  </si>
  <si>
    <t>Littlebrook</t>
  </si>
  <si>
    <t>GBLIT</t>
  </si>
  <si>
    <t>Littlehampton</t>
  </si>
  <si>
    <t>GBLIV</t>
  </si>
  <si>
    <t>GBLLD</t>
  </si>
  <si>
    <t>GBLDO</t>
  </si>
  <si>
    <t>Llandudno</t>
  </si>
  <si>
    <t>GBLCC</t>
  </si>
  <si>
    <t>GBLRP</t>
  </si>
  <si>
    <t>Loch Ryan Pt</t>
  </si>
  <si>
    <t>GBLHS</t>
  </si>
  <si>
    <t>Loch Striven</t>
  </si>
  <si>
    <t>GBLOL</t>
  </si>
  <si>
    <t>Lochaline</t>
  </si>
  <si>
    <t>GBLBD</t>
  </si>
  <si>
    <t>GBLOV</t>
  </si>
  <si>
    <t>Lochinver</t>
  </si>
  <si>
    <t>GBLMA</t>
  </si>
  <si>
    <t>GBLRZ</t>
  </si>
  <si>
    <t>GBLON</t>
  </si>
  <si>
    <t>London</t>
  </si>
  <si>
    <t>GBLGP</t>
  </si>
  <si>
    <t>GBLDY</t>
  </si>
  <si>
    <t>Londonderry</t>
  </si>
  <si>
    <t>GBLOW</t>
  </si>
  <si>
    <t>Lowestoft</t>
  </si>
  <si>
    <t>GBLYM</t>
  </si>
  <si>
    <t>Lymington</t>
  </si>
  <si>
    <t>GBLYS</t>
  </si>
  <si>
    <t>GBLNM</t>
  </si>
  <si>
    <t>Lynmouth</t>
  </si>
  <si>
    <t>GBMCD</t>
  </si>
  <si>
    <t>Macduff</t>
  </si>
  <si>
    <t>GBMLG</t>
  </si>
  <si>
    <t>Mallaig</t>
  </si>
  <si>
    <t>GBMSC</t>
  </si>
  <si>
    <t>GBMAW</t>
  </si>
  <si>
    <t>Marchwood</t>
  </si>
  <si>
    <t>GBMRB</t>
  </si>
  <si>
    <t>GBMEB</t>
  </si>
  <si>
    <t>Menai Bridge</t>
  </si>
  <si>
    <t>GBMTH</t>
  </si>
  <si>
    <t>Methil</t>
  </si>
  <si>
    <t>GBMYE</t>
  </si>
  <si>
    <t>GBMLF</t>
  </si>
  <si>
    <t>Milford Haven</t>
  </si>
  <si>
    <t>GBMLP</t>
  </si>
  <si>
    <t>GBMHD</t>
  </si>
  <si>
    <t>Minehead</t>
  </si>
  <si>
    <t>GBMIS</t>
  </si>
  <si>
    <t>Mistley</t>
  </si>
  <si>
    <t>GBMON</t>
  </si>
  <si>
    <t>Montrose</t>
  </si>
  <si>
    <t>GBCHE</t>
  </si>
  <si>
    <t>Mostyn</t>
  </si>
  <si>
    <t>GBNEH</t>
  </si>
  <si>
    <t>Neap House</t>
  </si>
  <si>
    <t>GBNEA</t>
  </si>
  <si>
    <t>GBNHO</t>
  </si>
  <si>
    <t>New Holland</t>
  </si>
  <si>
    <t>GBNCL</t>
  </si>
  <si>
    <t>Newcastle upon Tyne</t>
  </si>
  <si>
    <t>GBNHV</t>
  </si>
  <si>
    <t>GBNYL</t>
  </si>
  <si>
    <t>Newlyn</t>
  </si>
  <si>
    <t>GBNPT</t>
  </si>
  <si>
    <t>GBNGG</t>
  </si>
  <si>
    <t>Nigg</t>
  </si>
  <si>
    <t>GBNOH</t>
  </si>
  <si>
    <t>GBNRO</t>
  </si>
  <si>
    <t>GBNSH</t>
  </si>
  <si>
    <t>North Shields</t>
  </si>
  <si>
    <t>GBNFT</t>
  </si>
  <si>
    <t>Northfleet</t>
  </si>
  <si>
    <t>GBOAK</t>
  </si>
  <si>
    <t>Oakhamness</t>
  </si>
  <si>
    <t>GBOBA</t>
  </si>
  <si>
    <t>Oban</t>
  </si>
  <si>
    <t>GBOTR</t>
  </si>
  <si>
    <t>GBPAD</t>
  </si>
  <si>
    <t>GBPST</t>
  </si>
  <si>
    <t>GBPED</t>
  </si>
  <si>
    <t>Pembroke Dock</t>
  </si>
  <si>
    <t>GBPNH</t>
  </si>
  <si>
    <t>Penarth</t>
  </si>
  <si>
    <t>GBPEN</t>
  </si>
  <si>
    <t>Penzance</t>
  </si>
  <si>
    <t>GBPER</t>
  </si>
  <si>
    <t>GBPHD</t>
  </si>
  <si>
    <t>Peterhead</t>
  </si>
  <si>
    <t>GBPIE</t>
  </si>
  <si>
    <t>GBPLY</t>
  </si>
  <si>
    <t>Plymouth</t>
  </si>
  <si>
    <t>GBPOO</t>
  </si>
  <si>
    <t>Poole</t>
  </si>
  <si>
    <t>GBPAK</t>
  </si>
  <si>
    <t>Port Askaig</t>
  </si>
  <si>
    <t>GBPLN</t>
  </si>
  <si>
    <t>Port Ellen</t>
  </si>
  <si>
    <t>GBPMR</t>
  </si>
  <si>
    <t>GBPPE</t>
  </si>
  <si>
    <t>GBPTB</t>
  </si>
  <si>
    <t>Port Talbot</t>
  </si>
  <si>
    <t>GBPVD</t>
  </si>
  <si>
    <t>Portavadie</t>
  </si>
  <si>
    <t>GBPRU</t>
  </si>
  <si>
    <t>GBPCW</t>
  </si>
  <si>
    <t>Porthcawl</t>
  </si>
  <si>
    <t>GBPTL</t>
  </si>
  <si>
    <t>GBPRT</t>
  </si>
  <si>
    <t>GBPTR</t>
  </si>
  <si>
    <t>Portrush</t>
  </si>
  <si>
    <t>GBPME</t>
  </si>
  <si>
    <t>GBPFT</t>
  </si>
  <si>
    <t>Purfleet</t>
  </si>
  <si>
    <t>GBQUB</t>
  </si>
  <si>
    <t>GBRMG</t>
  </si>
  <si>
    <t>Ramsgate</t>
  </si>
  <si>
    <t>GBREN</t>
  </si>
  <si>
    <t>Renfrew</t>
  </si>
  <si>
    <t>GBRHB</t>
  </si>
  <si>
    <t>GBRID</t>
  </si>
  <si>
    <t>GBRCS</t>
  </si>
  <si>
    <t>Rochester</t>
  </si>
  <si>
    <t>GBROY</t>
  </si>
  <si>
    <t>Rosyth</t>
  </si>
  <si>
    <t>GBRAY</t>
  </si>
  <si>
    <t>GBRYE</t>
  </si>
  <si>
    <t>Rye</t>
  </si>
  <si>
    <t>GBSMH</t>
  </si>
  <si>
    <t>GBSCB</t>
  </si>
  <si>
    <t>Salcombe</t>
  </si>
  <si>
    <t>GBSCG</t>
  </si>
  <si>
    <t>GBSWY</t>
  </si>
  <si>
    <t>GBSCC</t>
  </si>
  <si>
    <t>GBSCF</t>
  </si>
  <si>
    <t>GBSFW</t>
  </si>
  <si>
    <t>GBSCA</t>
  </si>
  <si>
    <t>Scarborough</t>
  </si>
  <si>
    <t>GBSCN</t>
  </si>
  <si>
    <t>GBSCO</t>
  </si>
  <si>
    <t>GBSCR</t>
  </si>
  <si>
    <t>Scrabster</t>
  </si>
  <si>
    <t>GBSEA</t>
  </si>
  <si>
    <t>Seaham</t>
  </si>
  <si>
    <t>GBSLB</t>
  </si>
  <si>
    <t>Selby</t>
  </si>
  <si>
    <t>GBSSS</t>
  </si>
  <si>
    <t>Sharpness</t>
  </si>
  <si>
    <t>GBSHS</t>
  </si>
  <si>
    <t>Sheerness</t>
  </si>
  <si>
    <t>GBESH</t>
  </si>
  <si>
    <t>GBSIL</t>
  </si>
  <si>
    <t>Silloth</t>
  </si>
  <si>
    <t>GBSVT</t>
  </si>
  <si>
    <t>Silvertown</t>
  </si>
  <si>
    <t>GBSSH</t>
  </si>
  <si>
    <t>South Shields</t>
  </si>
  <si>
    <t>GBSOU</t>
  </si>
  <si>
    <t>GBSND</t>
  </si>
  <si>
    <t>Southend-on-Sea</t>
  </si>
  <si>
    <t>GBSTO</t>
  </si>
  <si>
    <t>Stornoway</t>
  </si>
  <si>
    <t>GBSTR</t>
  </si>
  <si>
    <t>Stranraer</t>
  </si>
  <si>
    <t>GBSNS</t>
  </si>
  <si>
    <t>GBSUL</t>
  </si>
  <si>
    <t>GBSUN</t>
  </si>
  <si>
    <t>Sunderland</t>
  </si>
  <si>
    <t>GBPSB</t>
  </si>
  <si>
    <t>Sutton Bridge</t>
  </si>
  <si>
    <t>GBSWA</t>
  </si>
  <si>
    <t>Swansea</t>
  </si>
  <si>
    <t>GBSYM</t>
  </si>
  <si>
    <t>GBTAR</t>
  </si>
  <si>
    <t>GBTAB</t>
  </si>
  <si>
    <t>GBTAI</t>
  </si>
  <si>
    <t>Tayinloan</t>
  </si>
  <si>
    <t>GBTEE</t>
  </si>
  <si>
    <t>Teesport</t>
  </si>
  <si>
    <t>GBTNM</t>
  </si>
  <si>
    <t>Teignmouth</t>
  </si>
  <si>
    <t>GBTTL</t>
  </si>
  <si>
    <t>GBTHS</t>
  </si>
  <si>
    <t>GBTIG</t>
  </si>
  <si>
    <t>Tighnabruaich</t>
  </si>
  <si>
    <t>GBTIL</t>
  </si>
  <si>
    <t>Tilbury</t>
  </si>
  <si>
    <t>GBTOB</t>
  </si>
  <si>
    <t>Tobermory</t>
  </si>
  <si>
    <t>GBTFT</t>
  </si>
  <si>
    <t>GBTHM</t>
  </si>
  <si>
    <t>Topsham</t>
  </si>
  <si>
    <t>GBTBY</t>
  </si>
  <si>
    <t>GBTOR</t>
  </si>
  <si>
    <t>Torquay</t>
  </si>
  <si>
    <t>GBTRA</t>
  </si>
  <si>
    <t>Tranmere</t>
  </si>
  <si>
    <t>GBTSO</t>
  </si>
  <si>
    <t>GBTRN</t>
  </si>
  <si>
    <t>Troon</t>
  </si>
  <si>
    <t>GBTRU</t>
  </si>
  <si>
    <t>Truro</t>
  </si>
  <si>
    <t>GBTYN</t>
  </si>
  <si>
    <t>Tyne</t>
  </si>
  <si>
    <t>GBUIG</t>
  </si>
  <si>
    <t>GBULL</t>
  </si>
  <si>
    <t>Ullapool</t>
  </si>
  <si>
    <t>GBULS</t>
  </si>
  <si>
    <t>GBUYE</t>
  </si>
  <si>
    <t>GBVID</t>
  </si>
  <si>
    <t>GBWLZ</t>
  </si>
  <si>
    <t>GBWPT</t>
  </si>
  <si>
    <t>Warrenpoint</t>
  </si>
  <si>
    <t>GBWAT</t>
  </si>
  <si>
    <t>Watchet</t>
  </si>
  <si>
    <t>GBWMB</t>
  </si>
  <si>
    <t>Wemyss Bay</t>
  </si>
  <si>
    <t>GBWBF</t>
  </si>
  <si>
    <t>GBWEY</t>
  </si>
  <si>
    <t>GBWTB</t>
  </si>
  <si>
    <t>GBWHV</t>
  </si>
  <si>
    <t>Whitehaven</t>
  </si>
  <si>
    <t>GBWTS</t>
  </si>
  <si>
    <t>Whitstable</t>
  </si>
  <si>
    <t>GBWIC</t>
  </si>
  <si>
    <t>Wick</t>
  </si>
  <si>
    <t>GBWIS</t>
  </si>
  <si>
    <t>Wisbech</t>
  </si>
  <si>
    <t>GBWOR</t>
  </si>
  <si>
    <t>Workington</t>
  </si>
  <si>
    <t>GBYMO</t>
  </si>
  <si>
    <t>GBYLL</t>
  </si>
  <si>
    <t>Yelland</t>
  </si>
  <si>
    <t>Guernsey</t>
  </si>
  <si>
    <t>GIGIB</t>
  </si>
  <si>
    <t>Gibraltar</t>
  </si>
  <si>
    <t>Guam</t>
  </si>
  <si>
    <t>Hong Kong</t>
  </si>
  <si>
    <t>Palau</t>
  </si>
  <si>
    <t>China</t>
  </si>
  <si>
    <t>Kuwait</t>
  </si>
  <si>
    <t>Luxembourg</t>
  </si>
  <si>
    <t>Monaco</t>
  </si>
  <si>
    <t>Philippines</t>
  </si>
  <si>
    <t>Réunion</t>
  </si>
  <si>
    <t>Singapore</t>
  </si>
  <si>
    <t>Armenia</t>
  </si>
  <si>
    <t>Jamaica</t>
  </si>
  <si>
    <t>Mexico</t>
  </si>
  <si>
    <t>Poland</t>
  </si>
  <si>
    <t>Samoa</t>
  </si>
  <si>
    <t>Botswana</t>
  </si>
  <si>
    <t>Zimbabwe</t>
  </si>
  <si>
    <t>PORTNAME</t>
  </si>
  <si>
    <t>Primary purpose of call</t>
  </si>
  <si>
    <t>Security measures applied in lieu of SSP (if not maintained)</t>
  </si>
  <si>
    <t>http://www.emsa.europa.eu/ssn-main/documents.html</t>
  </si>
  <si>
    <t>SSN XML Messaging Reference Guide</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</si>
  <si>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</si>
  <si>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</si>
  <si>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</si>
  <si>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</si>
  <si>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</si>
  <si>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</si>
  <si>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</si>
  <si>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</si>
  <si>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</si>
  <si>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</si>
  <si>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</si>
  <si>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</si>
  <si>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</si>
  <si>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</si>
  <si>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</si>
  <si>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</si>
  <si>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</si>
  <si>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</si>
  <si>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</si>
  <si>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</si>
  <si>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</si>
  <si>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</si>
  <si>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</si>
  <si>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</si>
  <si>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</si>
  <si>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</si>
  <si>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</si>
  <si>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</si>
  <si>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</si>
  <si>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</si>
  <si>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</si>
  <si>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</si>
  <si>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</si>
  <si>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</si>
  <si>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</si>
  <si>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</si>
  <si>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</si>
  <si>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</si>
  <si>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</si>
  <si>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</si>
  <si>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</si>
  <si>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</si>
  <si>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</si>
  <si>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</si>
  <si>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</si>
  <si>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</si>
  <si>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</si>
  <si>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</si>
  <si>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</si>
  <si>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</si>
  <si>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</si>
  <si>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</si>
  <si>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</si>
  <si>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</si>
  <si>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</si>
  <si>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</si>
  <si>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</si>
  <si>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</si>
  <si>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</si>
  <si>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</si>
  <si>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</si>
  <si>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</si>
  <si>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</si>
  <si>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</si>
  <si>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</si>
  <si>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</si>
  <si>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</si>
  <si>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</si>
  <si>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</si>
  <si>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</si>
  <si>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</si>
  <si>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</si>
  <si>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</si>
  <si>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</si>
  <si>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</si>
  <si>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</si>
  <si>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</si>
  <si>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</si>
  <si>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</si>
  <si>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</si>
  <si>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</si>
  <si>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</si>
  <si>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</si>
  <si>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</si>
  <si>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</si>
  <si>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</si>
  <si>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</si>
  <si>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</si>
  <si>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</si>
  <si>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</si>
  <si>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</si>
  <si>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</si>
  <si>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</si>
  <si>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</si>
  <si>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</si>
  <si>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</si>
  <si>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</si>
  <si>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</si>
  <si>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</si>
  <si>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</si>
  <si>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</si>
  <si>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</si>
  <si>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</si>
  <si>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</si>
  <si>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</si>
  <si>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</si>
  <si>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UK PORTNAME</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</si>
  <si>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</si>
  <si>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For a full list of messaging requirements see the "SSN XML Messaging Reference Guide" maintained here:</t>
  </si>
  <si>
    <t>Subsidiary risk</t>
  </si>
  <si>
    <t>Class 7</t>
  </si>
  <si>
    <t>Port of call name</t>
  </si>
  <si>
    <t>Port of call LOCODE</t>
  </si>
  <si>
    <t>Last port LOCODE</t>
  </si>
  <si>
    <t>Select port of call</t>
  </si>
  <si>
    <t>Next port LOCODE</t>
  </si>
  <si>
    <t>Last port name</t>
  </si>
  <si>
    <t>Select last port</t>
  </si>
  <si>
    <t>Select next port</t>
  </si>
  <si>
    <t>Next port name</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</si>
  <si>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</si>
  <si>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</si>
  <si>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</si>
  <si>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</si>
  <si>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</si>
  <si>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</si>
  <si>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</si>
  <si>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</si>
  <si>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</si>
  <si>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</si>
  <si>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</si>
  <si>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</si>
  <si>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</si>
  <si>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</si>
  <si>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</si>
  <si>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</si>
  <si>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</si>
  <si>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</si>
  <si>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</si>
  <si>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</si>
  <si>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</si>
  <si>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</si>
  <si>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</si>
  <si>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</si>
  <si>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</si>
  <si>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</si>
  <si>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</si>
  <si>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</si>
  <si>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</si>
  <si>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</si>
  <si>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</si>
  <si>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</si>
  <si>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</si>
  <si>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</si>
  <si>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</si>
  <si>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</si>
  <si>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</si>
  <si>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</si>
  <si>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</si>
  <si>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</si>
  <si>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</si>
  <si>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</si>
  <si>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</si>
  <si>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</si>
  <si>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</si>
  <si>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</si>
  <si>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</si>
  <si>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</si>
  <si>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</si>
  <si>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</si>
  <si>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</si>
  <si>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</si>
  <si>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</si>
  <si>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</si>
  <si>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</si>
  <si>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</si>
  <si>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</si>
  <si>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</si>
  <si>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</si>
  <si>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</si>
  <si>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</si>
  <si>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</si>
  <si>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</si>
  <si>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</si>
  <si>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</si>
  <si>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</si>
  <si>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</si>
  <si>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</si>
  <si>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</si>
  <si>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</si>
  <si>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</si>
  <si>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</si>
  <si>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</si>
  <si>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</si>
  <si>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</si>
  <si>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</si>
  <si>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</si>
  <si>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</si>
  <si>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</si>
  <si>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</si>
  <si>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</si>
  <si>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</si>
  <si>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</si>
  <si>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</si>
  <si>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</si>
  <si>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</si>
  <si>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</si>
  <si>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</si>
  <si>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</si>
  <si>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</si>
  <si>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</si>
  <si>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</si>
  <si>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</si>
  <si>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</si>
  <si>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</si>
  <si>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</si>
  <si>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</si>
  <si>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</si>
  <si>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</si>
  <si>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</si>
  <si>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</si>
  <si>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</si>
  <si>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</si>
  <si>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</si>
  <si>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</si>
  <si>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</si>
  <si>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</si>
  <si>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</si>
  <si>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</si>
  <si>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</si>
  <si>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</si>
  <si>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</si>
  <si>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</si>
  <si>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</si>
  <si>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</si>
  <si>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</si>
  <si>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</si>
  <si>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</si>
  <si>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</si>
  <si>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</si>
  <si>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</si>
  <si>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</si>
  <si>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</si>
  <si>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</si>
  <si>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</si>
  <si>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</si>
  <si>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</si>
  <si>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</si>
  <si>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</si>
  <si>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</si>
  <si>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</si>
  <si>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</si>
  <si>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</si>
  <si>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</si>
  <si>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</si>
  <si>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</si>
  <si>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</si>
  <si>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</si>
  <si>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</si>
  <si>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</si>
  <si>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</si>
  <si>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</si>
  <si>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</si>
  <si>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</si>
  <si>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</si>
  <si>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</si>
  <si>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</si>
  <si>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</si>
  <si>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</si>
  <si>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</si>
  <si>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</si>
  <si>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</si>
  <si>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</si>
  <si>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</si>
  <si>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</si>
  <si>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</si>
  <si>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</si>
  <si>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</si>
  <si>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</si>
  <si>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</si>
  <si>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</si>
  <si>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</si>
  <si>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</si>
  <si>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</si>
  <si>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</si>
  <si>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</si>
  <si>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</si>
  <si>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</si>
  <si>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</si>
  <si>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</si>
  <si>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</si>
  <si>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</si>
  <si>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code</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</si>
  <si>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</si>
  <si>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</si>
  <si>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</si>
  <si>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</si>
  <si>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</si>
  <si>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</si>
  <si>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</si>
  <si>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</si>
  <si>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</si>
  <si>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</si>
  <si>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</si>
  <si>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</si>
  <si>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Sandwick, Loch Carnan (South Uist)</t>
  </si>
  <si>
    <t>GBRAH</t>
  </si>
  <si>
    <t>Toft (Shetland Islands)</t>
  </si>
  <si>
    <t>IM</t>
  </si>
  <si>
    <t>Company IMO number</t>
  </si>
  <si>
    <t>AF</t>
  </si>
  <si>
    <t>AL</t>
  </si>
  <si>
    <t>DZ</t>
  </si>
  <si>
    <t>AS</t>
  </si>
  <si>
    <t>AD</t>
  </si>
  <si>
    <t>AO</t>
  </si>
  <si>
    <t>AI</t>
  </si>
  <si>
    <t>AQ</t>
  </si>
  <si>
    <t>AG</t>
  </si>
  <si>
    <t>AR</t>
  </si>
  <si>
    <t>AM</t>
  </si>
  <si>
    <t>AW</t>
  </si>
  <si>
    <t>AU</t>
  </si>
  <si>
    <t>AZ</t>
  </si>
  <si>
    <t>BM</t>
  </si>
  <si>
    <t>BW</t>
  </si>
  <si>
    <t>IO</t>
  </si>
  <si>
    <t>KH</t>
  </si>
  <si>
    <t>CM</t>
  </si>
  <si>
    <t>KY</t>
  </si>
  <si>
    <t>CN</t>
  </si>
  <si>
    <t>AX</t>
  </si>
  <si>
    <t>KM</t>
  </si>
  <si>
    <t>CD</t>
  </si>
  <si>
    <t>CW</t>
  </si>
  <si>
    <t>DK</t>
  </si>
  <si>
    <t>DM</t>
  </si>
  <si>
    <t>DO</t>
  </si>
  <si>
    <t>EC</t>
  </si>
  <si>
    <t>EG</t>
  </si>
  <si>
    <t>SV</t>
  </si>
  <si>
    <t>GQ</t>
  </si>
  <si>
    <t>ER</t>
  </si>
  <si>
    <t>EE</t>
  </si>
  <si>
    <t>ET</t>
  </si>
  <si>
    <t>FK</t>
  </si>
  <si>
    <t>FJ</t>
  </si>
  <si>
    <t>GF</t>
  </si>
  <si>
    <t>PF</t>
  </si>
  <si>
    <t>TF</t>
  </si>
  <si>
    <t>GA</t>
  </si>
  <si>
    <t>GM</t>
  </si>
  <si>
    <t>GE</t>
  </si>
  <si>
    <t>DE</t>
  </si>
  <si>
    <t>GH</t>
  </si>
  <si>
    <t>GR</t>
  </si>
  <si>
    <t>GL</t>
  </si>
  <si>
    <t>GD</t>
  </si>
  <si>
    <t>GP</t>
  </si>
  <si>
    <t>GU</t>
  </si>
  <si>
    <t>GT</t>
  </si>
  <si>
    <t>GG</t>
  </si>
  <si>
    <t>GN</t>
  </si>
  <si>
    <t>GW</t>
  </si>
  <si>
    <t>GY</t>
  </si>
  <si>
    <t>HT</t>
  </si>
  <si>
    <t>HM</t>
  </si>
  <si>
    <t>HN</t>
  </si>
  <si>
    <t>HK</t>
  </si>
  <si>
    <t>HU</t>
  </si>
  <si>
    <t>IS</t>
  </si>
  <si>
    <t>ID</t>
  </si>
  <si>
    <t>IR</t>
  </si>
  <si>
    <t>IQ</t>
  </si>
  <si>
    <t>IE</t>
  </si>
  <si>
    <t>IL</t>
  </si>
  <si>
    <t>IT</t>
  </si>
  <si>
    <t>JM</t>
  </si>
  <si>
    <t>JP</t>
  </si>
  <si>
    <t>JE</t>
  </si>
  <si>
    <t>JO</t>
  </si>
  <si>
    <t>KZ</t>
  </si>
  <si>
    <t>KE</t>
  </si>
  <si>
    <t>KI</t>
  </si>
  <si>
    <t>KP</t>
  </si>
  <si>
    <t>KR</t>
  </si>
  <si>
    <t>KW</t>
  </si>
  <si>
    <t>LA</t>
  </si>
  <si>
    <t>LV</t>
  </si>
  <si>
    <t>LB</t>
  </si>
  <si>
    <t>LS</t>
  </si>
  <si>
    <t>LR</t>
  </si>
  <si>
    <t>LY</t>
  </si>
  <si>
    <t>LI</t>
  </si>
  <si>
    <t>LT</t>
  </si>
  <si>
    <t>LU</t>
  </si>
  <si>
    <t>MO</t>
  </si>
  <si>
    <t>MK</t>
  </si>
  <si>
    <t>MG</t>
  </si>
  <si>
    <t>MW</t>
  </si>
  <si>
    <t>MY</t>
  </si>
  <si>
    <t>MV</t>
  </si>
  <si>
    <t>ML</t>
  </si>
  <si>
    <t>MH</t>
  </si>
  <si>
    <t>MQ</t>
  </si>
  <si>
    <t>MR</t>
  </si>
  <si>
    <t>MU</t>
  </si>
  <si>
    <t>YT</t>
  </si>
  <si>
    <t>FM</t>
  </si>
  <si>
    <t>MD</t>
  </si>
  <si>
    <t>MN</t>
  </si>
  <si>
    <t>ME</t>
  </si>
  <si>
    <t>MA</t>
  </si>
  <si>
    <t>MZ</t>
  </si>
  <si>
    <t>MM</t>
  </si>
  <si>
    <t>NA</t>
  </si>
  <si>
    <t>NR</t>
  </si>
  <si>
    <t>NP</t>
  </si>
  <si>
    <t>NL</t>
  </si>
  <si>
    <t>NC</t>
  </si>
  <si>
    <t>NZ</t>
  </si>
  <si>
    <t>NI</t>
  </si>
  <si>
    <t>NG</t>
  </si>
  <si>
    <t>NU</t>
  </si>
  <si>
    <t>NF</t>
  </si>
  <si>
    <t>MP</t>
  </si>
  <si>
    <t>NO</t>
  </si>
  <si>
    <t>OM</t>
  </si>
  <si>
    <t>PW</t>
  </si>
  <si>
    <t>PS</t>
  </si>
  <si>
    <t>PE</t>
  </si>
  <si>
    <t>PR</t>
  </si>
  <si>
    <t>QA</t>
  </si>
  <si>
    <t>RE</t>
  </si>
  <si>
    <t>RU</t>
  </si>
  <si>
    <t>RW</t>
  </si>
  <si>
    <t>KN</t>
  </si>
  <si>
    <t>LC</t>
  </si>
  <si>
    <t>MF</t>
  </si>
  <si>
    <t>PM</t>
  </si>
  <si>
    <t>VC</t>
  </si>
  <si>
    <t>WS</t>
  </si>
  <si>
    <t>SN</t>
  </si>
  <si>
    <t>RS</t>
  </si>
  <si>
    <t>SG</t>
  </si>
  <si>
    <t>SX</t>
  </si>
  <si>
    <t>SI</t>
  </si>
  <si>
    <t>SB</t>
  </si>
  <si>
    <t>SO</t>
  </si>
  <si>
    <t>ZA</t>
  </si>
  <si>
    <t>GS</t>
  </si>
  <si>
    <t>SS</t>
  </si>
  <si>
    <t>ES</t>
  </si>
  <si>
    <t>LK</t>
  </si>
  <si>
    <t>SR</t>
  </si>
  <si>
    <t>SJ</t>
  </si>
  <si>
    <t>SY</t>
  </si>
  <si>
    <t>TW</t>
  </si>
  <si>
    <t>TJ</t>
  </si>
  <si>
    <t>TH</t>
  </si>
  <si>
    <t>TL</t>
  </si>
  <si>
    <t>TG</t>
  </si>
  <si>
    <t>TT</t>
  </si>
  <si>
    <t>TM</t>
  </si>
  <si>
    <t>TV</t>
  </si>
  <si>
    <t>UG</t>
  </si>
  <si>
    <t>UA</t>
  </si>
  <si>
    <t>US</t>
  </si>
  <si>
    <t>UM</t>
  </si>
  <si>
    <t>UY</t>
  </si>
  <si>
    <t>UZ</t>
  </si>
  <si>
    <t>VU</t>
  </si>
  <si>
    <t>VE</t>
  </si>
  <si>
    <t>VN</t>
  </si>
  <si>
    <t>WF</t>
  </si>
  <si>
    <t>EH</t>
  </si>
  <si>
    <t>YE</t>
  </si>
  <si>
    <t>ZM</t>
  </si>
  <si>
    <t>ZW</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</si>
  <si>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</si>
  <si>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</si>
  <si>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</si>
  <si>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</si>
  <si>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</si>
  <si>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</si>
  <si>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</si>
  <si>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</si>
  <si>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</si>
  <si>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</si>
  <si>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</si>
  <si>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</si>
  <si>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</si>
  <si>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</si>
  <si>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</si>
  <si>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</si>
  <si>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</si>
  <si>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</si>
  <si>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</si>
  <si>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</si>
  <si>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</si>
  <si>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</si>
  <si>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</si>
  <si>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</si>
  <si>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</si>
  <si>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</si>
  <si>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</si>
  <si>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</si>
  <si>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</si>
  <si>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</si>
  <si>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</si>
  <si>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</si>
  <si>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</si>
  <si>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</si>
  <si>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</si>
  <si>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</si>
  <si>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</si>
  <si>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</si>
  <si>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</si>
  <si>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</si>
  <si>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</si>
  <si>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</si>
  <si>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</si>
  <si>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</si>
  <si>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</si>
  <si>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</si>
  <si>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</si>
  <si>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</si>
  <si>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</si>
  <si>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</si>
  <si>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</si>
  <si>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</si>
  <si>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</si>
  <si>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</si>
  <si>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</si>
  <si>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</si>
  <si>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</si>
  <si>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</si>
  <si>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</si>
  <si>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</si>
  <si>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</si>
  <si>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Vessel Details</t>
  </si>
  <si>
    <t>Foreign Vessels only</t>
  </si>
  <si>
    <t>International Voyages only</t>
  </si>
  <si>
    <t>Vessel Type</t>
  </si>
  <si>
    <t>Coming From</t>
  </si>
  <si>
    <t>Gross Tonnage</t>
  </si>
  <si>
    <t>Length</t>
  </si>
  <si>
    <t>Carrying DPG?</t>
  </si>
  <si>
    <t>Ship Identification</t>
  </si>
  <si>
    <t>Port of Destination</t>
  </si>
  <si>
    <t>ETA</t>
  </si>
  <si>
    <t>ETD</t>
  </si>
  <si>
    <t>ATA</t>
  </si>
  <si>
    <t>ATD</t>
  </si>
  <si>
    <t>PoB</t>
  </si>
  <si>
    <t>DPG on Arrival</t>
  </si>
  <si>
    <t>DPG on Departure</t>
  </si>
  <si>
    <t>Security Information</t>
  </si>
  <si>
    <t>Port Waste</t>
  </si>
  <si>
    <t>Fishing Vessel</t>
  </si>
  <si>
    <t>N/A</t>
  </si>
  <si>
    <t>&lt;45M</t>
  </si>
  <si>
    <t>Anywhere</t>
  </si>
  <si>
    <t>&gt;300GT</t>
  </si>
  <si>
    <t>&gt;45M</t>
  </si>
  <si>
    <t>&lt;300GT</t>
  </si>
  <si>
    <t>Inside EU</t>
  </si>
  <si>
    <t>Outside EU</t>
  </si>
  <si>
    <t>Traditional Ships</t>
  </si>
  <si>
    <t>Recreational Craft</t>
  </si>
  <si>
    <t>Cargo Ships</t>
  </si>
  <si>
    <t>&gt;500GT</t>
  </si>
  <si>
    <t>300GT - 500GT</t>
  </si>
  <si>
    <t>Passenger Ships</t>
  </si>
  <si>
    <t>Work Boats (seagoing)</t>
  </si>
  <si>
    <t xml:space="preserve"> </t>
  </si>
  <si>
    <t>Reporting requirements</t>
  </si>
  <si>
    <t>Note: Information required by SOLAS regulation (XI-2/9.2.1). Details relating to specific fields are displayed on data input or upon clicking table header.</t>
  </si>
  <si>
    <t>Note: List the last ten calls at port facilities in chronological order (most recent first).</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</si>
  <si>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</si>
  <si>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</si>
  <si>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</si>
  <si>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</si>
  <si>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</si>
  <si>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</si>
  <si>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</si>
  <si>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</si>
  <si>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</si>
  <si>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</si>
  <si>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</si>
  <si>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</si>
  <si>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</si>
  <si>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</si>
  <si>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</si>
  <si>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</si>
  <si>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</si>
  <si>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</si>
  <si>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</si>
  <si>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</si>
  <si>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</si>
  <si>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</si>
  <si>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</si>
  <si>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REPORTING REQUIREMENTS</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</si>
  <si>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</si>
  <si>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</si>
  <si>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</si>
  <si>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</si>
  <si>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</si>
  <si>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</si>
  <si>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</si>
  <si>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</si>
  <si>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</si>
  <si>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</si>
  <si>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</si>
  <si>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</si>
  <si>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</si>
  <si>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</si>
  <si>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</si>
  <si>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</si>
  <si>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</si>
  <si>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</si>
  <si>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</si>
  <si>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</si>
  <si>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</si>
  <si>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</si>
  <si>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</si>
  <si>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</si>
  <si>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</si>
  <si>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</si>
  <si>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</si>
  <si>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</si>
  <si>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</si>
  <si>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</si>
  <si>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</si>
  <si>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</si>
  <si>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</si>
  <si>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</si>
  <si>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</si>
  <si>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</si>
  <si>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</si>
  <si>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+44 20 3868 2718</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</si>
  <si>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</si>
  <si>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</si>
  <si>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</si>
  <si>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</si>
  <si>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</si>
  <si>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</si>
  <si>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</si>
  <si>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</si>
  <si>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</si>
  <si>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</si>
  <si>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</si>
  <si>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</si>
  <si>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</si>
  <si>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‘ETA to port of call’ or ‘ATD Port of call’ is required</t>
  </si>
  <si>
    <t>If ‘ISSC is valid?’ is false, then ‘Invalid reason’ is required</t>
  </si>
  <si>
    <t>‘ETD from port of call’ or ‘ATD Port of call’ is required</t>
  </si>
  <si>
    <t>‘Approved security plan?’ is required</t>
  </si>
  <si>
    <t xml:space="preserve">If incoming ‘Hazmat on board’ is ‘Yes’, then ‘POB Voyage towards port of call’ is required </t>
  </si>
  <si>
    <t>‘CSO Last name’ and one of ‘Phone’, ‘Fax’ and ‘Email’ is required</t>
  </si>
  <si>
    <t xml:space="preserve">If outgoing ‘Hazmat on board’ is ‘Yes’, then ‘POB Towards next port’ is required </t>
  </si>
  <si>
    <t>‘ISSC‘ info must be given if ‘ISSC is valid?’ is ‘True’</t>
  </si>
  <si>
    <t xml:space="preserve">If outgoing ‘Hazmat on board’ is ‘Yes’, then ‘Next Port’ is required </t>
  </si>
  <si>
    <t>Invalid reason' must be blank if 'ISSC is valid?' is 'True'</t>
  </si>
  <si>
    <t>If outgoing ‘Hazmat on board’ is ‘Yes’ and ‘Next Port’ is not ‘Unknown’, then ‘ETA to next port’ is required</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</si>
  <si>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</si>
  <si>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</si>
  <si>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</si>
  <si>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</si>
  <si>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</si>
  <si>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</si>
  <si>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</si>
  <si>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</si>
  <si>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</si>
  <si>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</si>
  <si>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</si>
  <si>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</si>
  <si>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</si>
  <si>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</si>
  <si>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</si>
  <si>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</si>
  <si>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</si>
  <si>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</si>
  <si>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</si>
  <si>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</si>
  <si>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‘Port of call’ required</t>
  </si>
  <si>
    <t>Remaining waste delivery port' must be bank if 'Waste delivery status' is 'ALL'</t>
  </si>
  <si>
    <t>Form Status:</t>
  </si>
  <si>
    <t>Port Location</t>
  </si>
  <si>
    <t>Latitude / Longitude</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</si>
  <si>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</si>
  <si>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</si>
  <si>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</si>
  <si>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</si>
  <si>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</si>
  <si>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</si>
  <si>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</si>
  <si>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</si>
  <si>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</si>
  <si>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</si>
  <si>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</si>
  <si>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</si>
  <si>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</si>
  <si>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</si>
  <si>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</si>
  <si>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</si>
  <si>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</si>
  <si>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</si>
  <si>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</si>
  <si>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Inmarsat Call number exceeds length limit</t>
  </si>
  <si>
    <t>Brief cargo description must be less than 256 characters</t>
  </si>
  <si>
    <t>POB towards port of call is invalid</t>
  </si>
  <si>
    <t>Anchorage is invalid</t>
  </si>
  <si>
    <t>POB towards next port is invalid</t>
  </si>
  <si>
    <t>Latitude is invalid</t>
  </si>
  <si>
    <t>Longitude is invalid</t>
  </si>
  <si>
    <t>Location name is invalid</t>
  </si>
  <si>
    <t>Location completion port LOCODE is invalid</t>
  </si>
  <si>
    <t>Last port delivered LOCODE is invalid</t>
  </si>
  <si>
    <t>'Waste capacity' is invalid</t>
  </si>
  <si>
    <t>'Waste type description' is invalid</t>
  </si>
  <si>
    <t>'Waste retained'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</si>
  <si>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</si>
  <si>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</si>
  <si>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</si>
  <si>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</si>
  <si>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</si>
  <si>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</si>
  <si>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</si>
  <si>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</si>
  <si>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</si>
  <si>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</si>
  <si>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</si>
  <si>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</si>
  <si>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</si>
  <si>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</si>
  <si>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</si>
  <si>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</si>
  <si>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</si>
  <si>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</si>
  <si>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</si>
  <si>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</si>
  <si>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</si>
  <si>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</si>
  <si>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</si>
  <si>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</si>
  <si>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</si>
  <si>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'Expiry'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</si>
  <si>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</si>
  <si>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</si>
  <si>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</si>
  <si>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</si>
  <si>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</si>
  <si>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</si>
  <si>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</si>
  <si>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</si>
  <si>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</si>
  <si>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</si>
  <si>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</si>
  <si>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</si>
  <si>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</si>
  <si>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'Port of loading LOCODE' is invalid</t>
  </si>
  <si>
    <t>'Port of discharge LOCODE'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</si>
  <si>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</si>
  <si>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</si>
  <si>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</si>
  <si>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</si>
  <si>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</si>
  <si>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</si>
  <si>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</si>
  <si>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</si>
  <si>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</si>
  <si>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</si>
  <si>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</si>
  <si>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</si>
  <si>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</si>
  <si>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</si>
  <si>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</si>
  <si>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</si>
  <si>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</si>
  <si>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</si>
  <si>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</si>
  <si>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</si>
  <si>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</si>
  <si>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</si>
  <si>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'Country' is invalid</t>
  </si>
  <si>
    <t>'Port Facility Name'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</si>
  <si>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</si>
  <si>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</si>
  <si>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</si>
  <si>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</si>
  <si>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</si>
  <si>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</si>
  <si>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</si>
  <si>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</si>
  <si>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</si>
  <si>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</si>
  <si>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'Security level'  is invalid</t>
  </si>
  <si>
    <t>'Special or additional security measures' is invalid</t>
  </si>
  <si>
    <t>'Special or additional security measures taken'  is invalid</t>
  </si>
  <si>
    <t xml:space="preserve">'Latitude' is invalid </t>
  </si>
  <si>
    <t>'Longitude' is invalid</t>
  </si>
  <si>
    <t>'Location name' is invalid</t>
  </si>
  <si>
    <t>'Ship-to-ship activity' is invalid</t>
  </si>
  <si>
    <t>'Security measures' - 'Yes' or 'None' is invalid</t>
  </si>
  <si>
    <t>'Security measures applied'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</si>
  <si>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</si>
  <si>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</si>
  <si>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</si>
  <si>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</si>
  <si>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</si>
  <si>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</si>
  <si>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</si>
  <si>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</si>
  <si>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</si>
  <si>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</si>
  <si>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</si>
  <si>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</si>
  <si>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</si>
  <si>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</si>
  <si>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</si>
  <si>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</si>
  <si>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</si>
  <si>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</si>
  <si>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</si>
  <si>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</si>
  <si>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</si>
  <si>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</si>
  <si>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</si>
  <si>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</si>
  <si>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</si>
  <si>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</si>
  <si>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</si>
  <si>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</si>
  <si>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</si>
  <si>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</si>
  <si>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</si>
  <si>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</si>
  <si>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</si>
  <si>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</si>
  <si>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</si>
  <si>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</si>
  <si>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</si>
  <si>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</si>
  <si>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</si>
  <si>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</si>
  <si>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</si>
  <si>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</si>
  <si>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</si>
  <si>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</si>
  <si>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</si>
  <si>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</si>
  <si>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</si>
  <si>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</si>
  <si>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</si>
  <si>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</si>
  <si>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</si>
  <si>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</si>
  <si>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</si>
  <si>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</si>
  <si>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</si>
  <si>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</si>
  <si>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</si>
  <si>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</si>
  <si>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</si>
  <si>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</si>
  <si>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</si>
  <si>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</si>
  <si>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</si>
  <si>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</si>
  <si>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</si>
  <si>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</si>
  <si>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</si>
  <si>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</si>
  <si>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</si>
  <si>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</si>
  <si>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</si>
  <si>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</si>
  <si>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</si>
  <si>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</si>
  <si>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</si>
  <si>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</si>
  <si>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</si>
  <si>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</si>
  <si>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</si>
  <si>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</si>
  <si>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</si>
  <si>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</si>
  <si>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</si>
  <si>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</si>
  <si>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</si>
  <si>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</si>
  <si>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</si>
  <si>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</si>
  <si>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</si>
  <si>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</si>
  <si>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</si>
  <si>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</si>
  <si>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</si>
  <si>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</si>
  <si>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</si>
  <si>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</si>
  <si>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</si>
  <si>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</si>
  <si>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</si>
  <si>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</si>
  <si>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</si>
  <si>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</si>
  <si>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</si>
  <si>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</si>
  <si>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</si>
  <si>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</si>
  <si>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</si>
  <si>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</si>
  <si>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</si>
  <si>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</si>
  <si>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</si>
  <si>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</si>
  <si>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</si>
  <si>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</si>
  <si>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</si>
  <si>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</si>
  <si>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</si>
  <si>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</si>
  <si>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</si>
  <si>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</si>
  <si>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</si>
  <si>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</si>
  <si>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</si>
  <si>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</si>
  <si>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</si>
  <si>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</si>
  <si>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</si>
  <si>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</si>
  <si>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</si>
  <si>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</si>
  <si>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</si>
  <si>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</si>
  <si>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</si>
  <si>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</si>
  <si>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</si>
  <si>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</si>
  <si>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</si>
  <si>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</si>
  <si>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</si>
  <si>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</si>
  <si>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</si>
  <si>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</si>
  <si>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</si>
  <si>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</si>
  <si>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</si>
  <si>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</si>
  <si>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</si>
  <si>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</si>
  <si>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</si>
  <si>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</si>
  <si>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</si>
  <si>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</si>
  <si>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</si>
  <si>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</si>
  <si>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</si>
  <si>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</si>
  <si>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</si>
  <si>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</si>
  <si>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</si>
  <si>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</si>
  <si>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</si>
  <si>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</si>
  <si>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</si>
  <si>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</si>
  <si>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</si>
  <si>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</si>
  <si>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</si>
  <si>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</si>
  <si>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</si>
  <si>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</si>
  <si>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</si>
  <si>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</si>
  <si>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</si>
  <si>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</si>
  <si>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</si>
  <si>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</si>
  <si>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</si>
  <si>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</si>
  <si>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</si>
  <si>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</si>
  <si>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</si>
  <si>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</si>
  <si>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</si>
  <si>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</si>
  <si>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</si>
  <si>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</si>
  <si>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</si>
  <si>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</si>
  <si>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</si>
  <si>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</si>
  <si>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</si>
  <si>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</si>
  <si>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</si>
  <si>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</si>
  <si>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</si>
  <si>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</si>
  <si>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</si>
  <si>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</si>
  <si>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</si>
  <si>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</si>
  <si>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</si>
  <si>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</si>
  <si>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</si>
  <si>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</si>
  <si>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</si>
  <si>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</si>
  <si>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</si>
  <si>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</si>
  <si>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</si>
  <si>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</si>
  <si>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</si>
  <si>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</si>
  <si>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</si>
  <si>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</si>
  <si>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</si>
  <si>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</si>
  <si>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</si>
  <si>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</si>
  <si>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</si>
  <si>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</si>
  <si>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</si>
  <si>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</si>
  <si>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</si>
  <si>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</si>
  <si>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</si>
  <si>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</si>
  <si>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</si>
  <si>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</si>
  <si>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</si>
  <si>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</si>
  <si>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</si>
  <si>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</si>
  <si>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</si>
  <si>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</si>
  <si>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</si>
  <si>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</si>
  <si>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</si>
  <si>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</si>
  <si>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</si>
  <si>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</si>
  <si>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</si>
  <si>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</si>
  <si>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</si>
  <si>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</si>
  <si>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</si>
  <si>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</si>
  <si>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</si>
  <si>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</si>
  <si>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</si>
  <si>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</si>
  <si>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</si>
  <si>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</si>
  <si>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</si>
  <si>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</si>
  <si>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</si>
  <si>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</si>
  <si>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</si>
  <si>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</si>
  <si>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</si>
  <si>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Remaining waste delivery port LOCODE</t>
  </si>
  <si>
    <t>Minimum of two required:</t>
  </si>
  <si>
    <t>Voyage information</t>
  </si>
  <si>
    <t>24 hour notification</t>
  </si>
  <si>
    <t>ATA Port of call</t>
  </si>
  <si>
    <t>ATD Port of call</t>
  </si>
  <si>
    <t>POB Towards next port</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</si>
  <si>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</si>
  <si>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</si>
  <si>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</si>
  <si>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</si>
  <si>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</si>
  <si>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</si>
  <si>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</si>
  <si>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</si>
  <si>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Enter one of the following:</t>
  </si>
  <si>
    <t>Waste category</t>
  </si>
  <si>
    <t>Waste to be delivered</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</si>
  <si>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</si>
  <si>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</si>
  <si>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</si>
  <si>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</si>
  <si>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</si>
  <si>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</si>
  <si>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</si>
  <si>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</si>
  <si>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</si>
  <si>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</si>
  <si>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</si>
  <si>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</si>
  <si>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</si>
  <si>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</si>
  <si>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</si>
  <si>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</si>
  <si>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</si>
  <si>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POB towards port of call</t>
  </si>
  <si>
    <t>Location at form completion</t>
  </si>
  <si>
    <t>Waste overview</t>
  </si>
  <si>
    <t>Waste items</t>
  </si>
  <si>
    <t>Date from</t>
  </si>
  <si>
    <t>Date to</t>
  </si>
  <si>
    <t>Ship-to-ship activity</t>
  </si>
  <si>
    <t>Date of arrival</t>
  </si>
  <si>
    <t>Date of departure</t>
  </si>
  <si>
    <t>IMO Port facility number</t>
  </si>
  <si>
    <t>Security level</t>
  </si>
  <si>
    <r>
      <rPr>
        <b/>
        <sz val="10"/>
        <color theme="1" tint="0.14993743705557422"/>
        <rFont val="Arial"/>
        <family val="2"/>
      </rPr>
      <t>IMPORTANT:</t>
    </r>
    <r>
      <rPr>
        <sz val="10"/>
        <color theme="1" tint="0.14993743705557422"/>
        <rFont val="Arial"/>
        <family val="2"/>
      </rPr>
      <t xml:space="preserve"> Pay attention to highlighted fields in yellow, these are mandatory and must be completed if submitting the section.</t>
    </r>
  </si>
  <si>
    <t>Lat &amp; Long OR Location name required</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</si>
  <si>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</si>
  <si>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Don't include</t>
  </si>
  <si>
    <t>Override not allowed</t>
  </si>
  <si>
    <t>Override allowed</t>
  </si>
  <si>
    <t>Validation Override</t>
  </si>
  <si>
    <t>Validation Rules</t>
  </si>
  <si>
    <t>Only allowed once 'Reason for allowing validation overwrite' Is complete</t>
  </si>
  <si>
    <t>Ignore if invalid</t>
  </si>
  <si>
    <t>Len&lt;50</t>
  </si>
  <si>
    <t>Len&gt;50</t>
  </si>
  <si>
    <t>Don't allow invalid sheet upload</t>
  </si>
  <si>
    <t xml:space="preserve">* Sections marked as 'Invalid' will not be uploaded into CERS unless the validations are overridden.
* To override these validations write you must give a reason in the Reasons selection and set 'Override validations' to 'Allow invalid sheet upload'
</t>
  </si>
  <si>
    <t xml:space="preserve">* You will then be able to select 'Upload anyway' in the 'Include sections' component.
* This must only be done when there is a valid reason for returning an invalid workbook.
* The validation override still must be applied if the workbook is being submitted in a base64 encoded XML message. Otherwise the section will not be uploaded
</t>
  </si>
  <si>
    <t>Location</t>
  </si>
  <si>
    <t>Key:</t>
  </si>
  <si>
    <t>Gibraltar </t>
  </si>
  <si>
    <t>Key</t>
  </si>
  <si>
    <t>Note: Has the ship visited a port outside the European Economic Area in its last 10 port calls? If so, the food waste is treated as International Catering Waste.</t>
  </si>
  <si>
    <t>Is empty</t>
  </si>
  <si>
    <t>Status</t>
  </si>
  <si>
    <t>Port Facility' must be 4 digits</t>
  </si>
  <si>
    <t>'Position in port of call' must be less than 50 characters</t>
  </si>
  <si>
    <r>
      <t xml:space="preserve">
</t>
    </r>
    <r>
      <rPr>
        <b/>
        <sz val="10"/>
        <color theme="1" tint="0.14993743705557422"/>
        <rFont val="Arial"/>
        <family val="2"/>
      </rPr>
      <t>PURPOSE</t>
    </r>
    <r>
      <rPr>
        <sz val="10"/>
        <color theme="1" tint="0.14993743705557422"/>
        <rFont val="Arial"/>
        <family val="2"/>
      </rPr>
      <t xml:space="preserve">
This Excel workbook facilitates transition of UK ports and related entities to a SSN v3-compliant reporting framework, providing a bridge to minimise the effort required by PCAOS port authorities for reporting to CERS, and to maximise flexibility in fulfilling these regulatory reporting needs as the UK moves with the rest of the EU into an electronic reporting framework.
</t>
    </r>
    <r>
      <rPr>
        <b/>
        <sz val="10"/>
        <color theme="1" tint="0.14993743705557422"/>
        <rFont val="Arial"/>
        <family val="2"/>
      </rPr>
      <t>AUGMENTATION TO EXISTING INTERFACES</t>
    </r>
    <r>
      <rPr>
        <sz val="10"/>
        <color theme="1" tint="0.14993743705557422"/>
        <rFont val="Arial"/>
        <family val="2"/>
      </rPr>
      <t xml:space="preserve">
The usage of this workbook is not intended to replace either the CERS web application or the existing PCAOS technical interfaces into CERS 3, and it is always recommended that where possible the specific fields in the XML schema are produced and sent, or that the CERS 3 web application, with its rich user interface and interactive feedback, is used to ensure good data quality and successful messages.
However MCA has recognised the voice of industry and the need to reduce impact on users and provides this mechanism to help the transition to the upgraded schema with the minimum possible work from those impacted by the various reporting regulations affecting maritime voyages in the UK. 
As well as being a simplified method for capturing all the data at point of entry for integration into web service messages, this workbook allows offline entry (albeit digital), given that the SSN v3 schema compliance with FAL directives for Waste and Security replaces paper forms. As this may impose operational constraints on completing the voyage records, it is envisaged this Excel form will provide more flexibility for use where internet connectivity is not practical while still affording some level of control over the data.
</t>
    </r>
    <r>
      <rPr>
        <b/>
        <sz val="10"/>
        <color theme="1" tint="0.14993743705557422"/>
        <rFont val="Arial"/>
        <family val="2"/>
      </rPr>
      <t>HOW TO COMPLETE THIS WORKBOOK</t>
    </r>
    <r>
      <rPr>
        <sz val="10"/>
        <color theme="1" tint="0.14993743705557422"/>
        <rFont val="Arial"/>
        <family val="2"/>
      </rPr>
      <t xml:space="preserve">
This workbook is intended to be used to create new PortPlus reports for voyages for ports where the UK Maritime and Coastguard Agency has responsibility for reporting to EMSA as the National Competent Authority. Each worksheet can be considered a discrete, independent entity for a different required form that will eventually need to be sent to SSN via the PortPlus message. As such, it will be possible for only a subset of the worksheets in this workbook to be completed and submitted to CERS 3,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3.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t>
    </r>
    <r>
      <rPr>
        <b/>
        <sz val="10"/>
        <color theme="1" tint="0.14993743705557422"/>
        <rFont val="Arial"/>
        <family val="2"/>
      </rPr>
      <t xml:space="preserve">AUTHENTICATION / PERMISSION 
</t>
    </r>
    <r>
      <rPr>
        <sz val="10"/>
        <color theme="1" tint="0.14993743705557422"/>
        <rFont val="Arial"/>
        <family val="2"/>
      </rPr>
      <t xml:space="preserve">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of CERS 3 that must be included in the 'APIKey' field in the header of the CERS 3 web service.
Web UI users of CERS 3 will be also able to upload this spreadsheet directly in the web interface, which while not the optimal method of entry at least permits offline entry or an alternative where technical issues prevent use of the API for any reasons.
</t>
    </r>
    <r>
      <rPr>
        <b/>
        <sz val="10"/>
        <color theme="1" tint="0.14993743705557422"/>
        <rFont val="Arial"/>
        <family val="2"/>
      </rPr>
      <t>RESTRICTIONS</t>
    </r>
    <r>
      <rPr>
        <sz val="10"/>
        <color theme="1" tint="0.14993743705557422"/>
        <rFont val="Arial"/>
        <family val="2"/>
      </rPr>
      <t xml:space="preserve">
Users are not to copy and paste data into fields except as described in official documentation. The sheets in the workbook are not to be removed, even if they are returned later. Worksheets in the workbook must not be modified from the official versions. 
</t>
    </r>
    <r>
      <rPr>
        <b/>
        <sz val="10"/>
        <color theme="1" tint="0.14993743705557422"/>
        <rFont val="Arial"/>
        <family val="2"/>
      </rPr>
      <t>TRANSMISSION OF COMPLETED WORKBOOKS</t>
    </r>
    <r>
      <rPr>
        <sz val="10"/>
        <color theme="1" tint="0.14993743705557422"/>
        <rFont val="Arial"/>
        <family val="2"/>
      </rPr>
      <t xml:space="preserve">
Voyage details may be entered onto this workbook and then uploaded into CERS 3 either by embedding the workbook into an XML message to be technically sent to the CERS 3 SOAP web services, or by manual use of the CERS 3 web application to upload the spreadsheet, which will create a new voyage without having to enter values directly into the web application. Updates to existing voyages with this spreadsheet are intended to be supported in the future.
</t>
    </r>
    <r>
      <rPr>
        <b/>
        <sz val="10"/>
        <color theme="1" tint="0.14993743705557422"/>
        <rFont val="Arial"/>
        <family val="2"/>
      </rPr>
      <t>VERSION CONTROL</t>
    </r>
    <r>
      <rPr>
        <sz val="10"/>
        <color theme="1" tint="0.14993743705557422"/>
        <rFont val="Arial"/>
        <family val="2"/>
      </rPr>
      <t xml:space="preserve">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the CERS project website. Please check the CERS project site with an appropriate login (available from cers@mcga.gov.uk) for the latest version. 
</t>
    </r>
    <r>
      <rPr>
        <b/>
        <sz val="10"/>
        <color theme="1" tint="0.14993743705557422"/>
        <rFont val="Arial"/>
        <family val="2"/>
      </rPr>
      <t xml:space="preserve">COMPATIBILITY
</t>
    </r>
    <r>
      <rPr>
        <sz val="10"/>
        <color theme="1" tint="0.14993743705557422"/>
        <rFont val="Arial"/>
        <family val="2"/>
      </rPr>
      <t xml:space="preserve">This workbook requires the use of ActiveX and is only tested with 2013+ versions of Microsoft Excel for Windows. Excel 2010 and Excel 2007 should also work but are not tested by the MCA. This Workbook is not tested on Excel for Mac and may not function correctly when run on Mac computers.
</t>
    </r>
  </si>
  <si>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</si>
  <si>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</si>
  <si>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</si>
  <si>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</si>
  <si>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</si>
  <si>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</si>
  <si>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</si>
  <si>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</si>
  <si>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</si>
  <si>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</si>
  <si>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Waste type code is invalid</t>
  </si>
  <si>
    <t>* Waste type is invalid</t>
  </si>
  <si>
    <t>* Waste category is invalid</t>
  </si>
  <si>
    <t>Estimated waste creation' is invalid</t>
  </si>
  <si>
    <t>INF1 (Class INF 1)</t>
  </si>
  <si>
    <t>INF2 (Class INF 2)</t>
  </si>
  <si>
    <t>INF3 (Class INF3)</t>
  </si>
  <si>
    <t>1.2.2-lite</t>
  </si>
  <si>
    <t>3f53b330d53fda4cfa6361dad9613339bd8ec91f</t>
  </si>
  <si>
    <t>788b1764f260ba28e668bdf4b8c5bf6393495edc</t>
  </si>
  <si>
    <t>4007d77809627432c9e6a0edb30035957b55464b</t>
  </si>
  <si>
    <t>e138f78d5ab9fe481d16bf41a378d1bbfba9f113</t>
  </si>
  <si>
    <t>1f9745886aef7efdcc5a4660939ee38bf251895e</t>
  </si>
  <si>
    <t>5347d5469ae933d1b3f628e96fd6ab875e0406da</t>
  </si>
  <si>
    <t>d1b8c121c20b882353a8cbb407838cb50924eff1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</si>
</sst>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 numFmtId="170" formatCode="dd/mm/yy;@"/>
  </numFmts>
  <fonts count="54">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1"/>
      <color rgb="FF2C2D30"/>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sz val="10"/>
      <color rgb="FF333333"/>
      <name val="Verdana"/>
      <family val="2"/>
    </font>
    <font>
      <sz val="11"/>
      <color rgb="FF000000"/>
      <name val="Calibri"/>
      <family val="2"/>
    </font>
    <font>
      <sz val="11"/>
      <color theme="1"/>
      <name val="Arial"/>
      <family val="2"/>
    </font>
    <font>
      <b/>
      <sz val="11"/>
      <color theme="1"/>
      <name val="Arial"/>
      <family val="2"/>
    </font>
    <font>
      <sz val="11"/>
      <color theme="0"/>
      <name val="Arial"/>
      <family val="2"/>
    </font>
    <font>
      <sz val="10"/>
      <color rgb="FF262626"/>
      <name val="Arial"/>
      <family val="2"/>
    </font>
    <font>
      <sz val="12"/>
      <color theme="1" tint="0.14999847407452621"/>
      <name val="Consolas"/>
      <family val="3"/>
    </font>
    <font>
      <b/>
      <sz val="10"/>
      <color theme="0"/>
      <name val="Arial"/>
      <family val="2"/>
    </font>
    <font>
      <b/>
      <sz val="12"/>
      <color theme="0"/>
      <name val="Arial"/>
      <family val="2"/>
    </font>
    <font>
      <b/>
      <sz val="10"/>
      <color rgb="FFFF0000"/>
      <name val="Arial"/>
      <family val="2"/>
    </font>
    <font>
      <sz val="10"/>
      <color theme="1"/>
      <name val="Arial"/>
      <family val="2"/>
    </font>
    <font>
      <b/>
      <sz val="10"/>
      <name val="Arial"/>
      <family val="2"/>
    </font>
    <font>
      <b/>
      <sz val="11"/>
      <color rgb="FF000000"/>
      <name val="Raleway"/>
    </font>
    <font>
      <sz val="9"/>
      <color rgb="FF333333"/>
      <name val="Verdana"/>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F3F6F8"/>
        <bgColor theme="0" tint="-4.9989318521683403E-2"/>
      </patternFill>
    </fill>
    <fill>
      <patternFill patternType="solid">
        <fgColor theme="0"/>
        <bgColor theme="0" tint="-4.9989318521683403E-2"/>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rgb="FFF9F9F9"/>
        <bgColor indexed="64"/>
      </patternFill>
    </fill>
    <fill>
      <patternFill patternType="solid">
        <fgColor theme="7" tint="0.79998168889431442"/>
        <bgColor theme="0"/>
      </patternFill>
    </fill>
    <fill>
      <patternFill patternType="solid">
        <fgColor theme="4"/>
        <bgColor indexed="64"/>
      </patternFill>
    </fill>
    <fill>
      <patternFill patternType="solid">
        <fgColor theme="1"/>
        <bgColor theme="0"/>
      </patternFill>
    </fill>
    <fill>
      <patternFill patternType="solid">
        <fgColor theme="2" tint="-0.249977111117893"/>
        <bgColor indexed="64"/>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darkGray">
        <fgColor auto="1"/>
      </patternFill>
    </fill>
  </fills>
  <borders count="2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dashed">
        <color rgb="FFB0BEC5"/>
      </left>
      <right style="thin">
        <color rgb="FF455A64"/>
      </right>
      <top style="dashed">
        <color rgb="FFB0BEC5"/>
      </top>
      <bottom style="thin">
        <color rgb="FF455A64"/>
      </bottom>
      <diagonal/>
    </border>
    <border>
      <left style="thin">
        <color rgb="FF455A64"/>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n">
        <color rgb="FF455A64"/>
      </bottom>
      <diagonal/>
    </border>
    <border>
      <left style="thin">
        <color rgb="FF455A64"/>
      </left>
      <right style="dashed">
        <color rgb="FFB0BEC5"/>
      </right>
      <top style="dashed">
        <color rgb="FFB0BEC5"/>
      </top>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thick">
        <color rgb="FFBFC1C3"/>
      </left>
      <right style="thick">
        <color rgb="FFBFC1C3"/>
      </right>
      <top/>
      <bottom/>
      <diagonal/>
    </border>
    <border>
      <left style="thick">
        <color rgb="FFBFC1C3"/>
      </left>
      <right style="thick">
        <color rgb="FFBFC1C3"/>
      </right>
      <top style="dashed">
        <color rgb="FFB0BEC5"/>
      </top>
      <bottom/>
      <diagonal/>
    </border>
    <border>
      <left style="dashed">
        <color rgb="FF455A64"/>
      </left>
      <right style="thick">
        <color rgb="FFBFC1C3"/>
      </right>
      <top/>
      <bottom/>
      <diagonal/>
    </border>
    <border>
      <left style="dashed">
        <color rgb="FFB0BEC5"/>
      </left>
      <right style="thick">
        <color rgb="FFBFC1C3"/>
      </right>
      <top style="dashed">
        <color rgb="FFB0BEC5"/>
      </top>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style="medium">
        <color rgb="FFCCCCCC"/>
      </left>
      <right style="medium">
        <color rgb="FFCCCCCC"/>
      </right>
      <top style="medium">
        <color rgb="FFCCCCCC"/>
      </top>
      <bottom style="medium">
        <color rgb="FFCCCCCC"/>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style="thick">
        <color rgb="FFBFC1C3"/>
      </left>
      <right/>
      <top style="dashed">
        <color rgb="FFBFC1C3"/>
      </top>
      <bottom style="dashed">
        <color rgb="FFB0BEC5"/>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right style="dashed">
        <color rgb="FF455A64"/>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right style="dashed">
        <color rgb="FFB0BEC5"/>
      </right>
      <top style="dashed">
        <color rgb="FFB0BEC5"/>
      </top>
      <bottom style="thick">
        <color rgb="FFBFC1C3"/>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BFC1C3"/>
      </top>
      <bottom style="dotted">
        <color rgb="FFBFC1C3"/>
      </bottom>
      <diagonal/>
    </border>
    <border>
      <left style="thick">
        <color rgb="FFBFC1C3"/>
      </left>
      <right style="thick">
        <color rgb="FFBFC1C3"/>
      </right>
      <top style="dotted">
        <color rgb="FFBFC1C3"/>
      </top>
      <bottom style="thick">
        <color rgb="FFBFC1C3"/>
      </bottom>
      <diagonal/>
    </border>
    <border>
      <left style="thick">
        <color rgb="FFBFC1C3"/>
      </left>
      <right style="thick">
        <color rgb="FFBFC1C3"/>
      </right>
      <top style="dotted">
        <color rgb="FF90A4AE"/>
      </top>
      <bottom style="thick">
        <color rgb="FFBFC1C3"/>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style="thin">
        <color rgb="FF455A64"/>
      </left>
      <right/>
      <top/>
      <bottom style="thick">
        <color rgb="FFBFC1C3"/>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ck">
        <color rgb="FFBFC1C3"/>
      </left>
      <right/>
      <top/>
      <bottom style="thick">
        <color rgb="FFB0BEC5"/>
      </bottom>
      <diagonal/>
    </border>
    <border>
      <left style="thin">
        <color rgb="FF455A64"/>
      </left>
      <right style="thin">
        <color rgb="FF455A64"/>
      </right>
      <top style="dashed">
        <color rgb="FFB0BEC5"/>
      </top>
      <bottom style="thick">
        <color rgb="FFBFC1C3"/>
      </bottom>
      <diagonal/>
    </border>
    <border>
      <left/>
      <right style="thin">
        <color rgb="FF455A64"/>
      </right>
      <top style="thin">
        <color rgb="FF455A64"/>
      </top>
      <bottom/>
      <diagonal/>
    </border>
    <border>
      <left style="thin">
        <color rgb="FF455A64"/>
      </left>
      <right style="thin">
        <color rgb="FF455A64"/>
      </right>
      <top/>
      <bottom style="thin">
        <color rgb="FF455A64"/>
      </bottom>
      <diagonal/>
    </border>
    <border>
      <left/>
      <right style="thin">
        <color rgb="FF455A64"/>
      </right>
      <top style="dashed">
        <color rgb="FFB0BEC5"/>
      </top>
      <bottom style="thin">
        <color rgb="FF455A64"/>
      </bottom>
      <diagonal/>
    </border>
    <border>
      <left style="dashed">
        <color rgb="FF455A64"/>
      </left>
      <right style="thin">
        <color rgb="FF455A64"/>
      </right>
      <top/>
      <bottom/>
      <diagonal/>
    </border>
    <border>
      <left style="dashed">
        <color rgb="FFB0BEC5"/>
      </left>
      <right style="thin">
        <color rgb="FF455A64"/>
      </right>
      <top style="dashed">
        <color rgb="FFB0BEC5"/>
      </top>
      <bottom style="thick">
        <color rgb="FFBFC1C3"/>
      </bottom>
      <diagonal/>
    </border>
    <border>
      <left style="dashed">
        <color rgb="FFB0BEC5"/>
      </left>
      <right style="thin">
        <color rgb="FF455A64"/>
      </right>
      <top/>
      <bottom style="dashed">
        <color rgb="FFB0BEC5"/>
      </bottom>
      <diagonal/>
    </border>
    <border>
      <left style="thick">
        <color rgb="FFBFC1C3"/>
      </left>
      <right style="thin">
        <color rgb="FF455A64"/>
      </right>
      <top/>
      <bottom/>
      <diagonal/>
    </border>
    <border>
      <left style="thick">
        <color rgb="FFBFC1C3"/>
      </left>
      <right style="thin">
        <color rgb="FF455A64"/>
      </right>
      <top style="dashed">
        <color rgb="FFB0BEC5"/>
      </top>
      <bottom/>
      <diagonal/>
    </border>
    <border>
      <left style="thick">
        <color rgb="FFBFC1C3"/>
      </left>
      <right style="thin">
        <color rgb="FF455A64"/>
      </right>
      <top style="dashed">
        <color rgb="FFB0BEC5"/>
      </top>
      <bottom style="thick">
        <color rgb="FFBFC1C3"/>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right style="thick">
        <color rgb="FFDEE0E2"/>
      </right>
      <top style="thick">
        <color rgb="FFDEE0E2"/>
      </top>
      <bottom/>
      <diagonal/>
    </border>
    <border>
      <left style="thick">
        <color rgb="FFDEE0E2"/>
      </left>
      <right/>
      <top/>
      <bottom/>
      <diagonal/>
    </border>
    <border>
      <left/>
      <right style="thick">
        <color rgb="FFDEE0E2"/>
      </right>
      <top/>
      <bottom/>
      <diagonal/>
    </border>
    <border>
      <left style="thick">
        <color rgb="FFDEE0E2"/>
      </left>
      <right/>
      <top/>
      <bottom style="thick">
        <color rgb="FFDEE0E2"/>
      </bottom>
      <diagonal/>
    </border>
    <border>
      <left/>
      <right style="thick">
        <color rgb="FFDEE0E2"/>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right/>
      <top style="thick">
        <color rgb="FFDEE0E2"/>
      </top>
      <bottom/>
      <diagonal/>
    </border>
    <border>
      <left/>
      <right/>
      <top/>
      <bottom style="thick">
        <color rgb="FFDEE0E2"/>
      </bottom>
      <diagonal/>
    </border>
    <border>
      <left style="medium">
        <color auto="1"/>
      </left>
      <right/>
      <top/>
      <bottom/>
      <diagonal/>
    </border>
    <border>
      <left style="medium">
        <color auto="1"/>
      </left>
      <right/>
      <top/>
      <bottom style="thick">
        <color rgb="FFBFC1C3"/>
      </bottom>
      <diagonal/>
    </border>
    <border>
      <left style="thick">
        <color rgb="FFBFC1C3"/>
      </left>
      <right style="thick">
        <color rgb="FFBFC1C3"/>
      </right>
      <top/>
      <bottom style="dashed">
        <color rgb="FFBFC1C3"/>
      </bottom>
      <diagonal/>
    </border>
    <border>
      <left style="thick">
        <color rgb="FFBFC1C3"/>
      </left>
      <right style="thick">
        <color rgb="FFBFC1C3"/>
      </right>
      <top style="dashed">
        <color rgb="FFBFC1C3"/>
      </top>
      <bottom style="dashed">
        <color rgb="FFBFC1C3"/>
      </bottom>
      <diagonal/>
    </border>
    <border>
      <left style="thick">
        <color rgb="FFBFC1C3"/>
      </left>
      <right style="thick">
        <color rgb="FFBFC1C3"/>
      </right>
      <top style="dashed">
        <color rgb="FFBFC1C3"/>
      </top>
      <bottom style="thick">
        <color rgb="FFBFC1C3"/>
      </bottom>
      <diagonal/>
    </border>
    <border>
      <left/>
      <right style="thick">
        <color rgb="FFB0BEC5"/>
      </right>
      <top/>
      <bottom/>
      <diagonal/>
    </border>
    <border>
      <left/>
      <right style="thick">
        <color rgb="FFB0BEC5"/>
      </right>
      <top/>
      <bottom style="dashed">
        <color rgb="FFB0BEC5"/>
      </bottom>
      <diagonal/>
    </border>
  </borders>
  <cellStyleXfs count="61">
    <xf numFmtId="0" fontId="0" fillId="34" borderId="0" applyNumberFormat="0" applyFont="0" applyBorder="0" applyAlignment="0"/>
    <xf numFmtId="167"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2" fontId="22" fillId="40" borderId="0"/>
    <xf numFmtId="0" fontId="21" fillId="33" borderId="11"/>
    <xf numFmtId="2" fontId="23" fillId="40" borderId="10">
      <alignment vertical="center"/>
    </xf>
    <xf numFmtId="2" fontId="38" fillId="44" borderId="19">
      <alignment horizontal="left" vertical="center" indent="1"/>
    </xf>
    <xf numFmtId="2" fontId="24" fillId="35" borderId="0">
      <alignment wrapText="1"/>
    </xf>
    <xf numFmtId="2" fontId="35" fillId="34" borderId="0" applyNumberFormat="0" applyBorder="0" applyAlignment="0"/>
    <xf numFmtId="0" fontId="31" fillId="38" borderId="0" applyNumberFormat="0" applyFill="0" applyBorder="0" applyAlignment="0" applyProtection="0"/>
    <xf numFmtId="0" fontId="36" fillId="0" borderId="0"/>
    <xf numFmtId="0" fontId="34" fillId="0" borderId="0"/>
    <xf numFmtId="0" fontId="3" fillId="0" borderId="0"/>
    <xf numFmtId="0" fontId="2" fillId="0" borderId="0"/>
    <xf numFmtId="0" fontId="1" fillId="0" borderId="0"/>
    <xf numFmtId="0" fontId="34" fillId="0" borderId="0"/>
    <xf numFmtId="0" fontId="34" fillId="54" borderId="0"/>
  </cellStyleXfs>
  <cellXfs count="995">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0" fontId="0" fillId="34" borderId="0" xfId="0" applyFont="1" applyAlignment="1">
      <alignment vertical="top" wrapText="1"/>
    </xf>
    <xf numFmtId="0" fontId="0" fillId="34" borderId="0" xfId="0" applyFont="1" applyBorder="1" applyAlignment="1">
      <alignment vertical="top" wrapText="1"/>
    </xf>
    <xf numFmtId="49" fontId="0" fillId="34" borderId="0" xfId="0" applyNumberFormat="1" applyFont="1" applyBorder="1"/>
    <xf numFmtId="0" fontId="0" fillId="34" borderId="0" xfId="0" applyAlignment="1">
      <alignment horizontal="left" wrapText="1"/>
    </xf>
    <xf numFmtId="2" fontId="26" fillId="34" borderId="0" xfId="0" applyNumberFormat="1" applyFont="1" applyProtection="1"/>
    <xf numFmtId="2" fontId="25" fillId="34" borderId="0" xfId="0" applyNumberFormat="1" applyFont="1" applyAlignment="1" applyProtection="1">
      <alignment vertical="center"/>
    </xf>
    <xf numFmtId="0" fontId="0" fillId="34" borderId="0" xfId="0"/>
    <xf numFmtId="0" fontId="0" fillId="36" borderId="12" xfId="0" applyFill="1" applyBorder="1"/>
    <xf numFmtId="0" fontId="0" fillId="36" borderId="13" xfId="0" applyFill="1" applyBorder="1"/>
    <xf numFmtId="0" fontId="0" fillId="37" borderId="12" xfId="0" applyFill="1" applyBorder="1"/>
    <xf numFmtId="0" fontId="0" fillId="37" borderId="13" xfId="0" applyFill="1" applyBorder="1"/>
    <xf numFmtId="0" fontId="27" fillId="34" borderId="0" xfId="0" applyFont="1"/>
    <xf numFmtId="0" fontId="0" fillId="36" borderId="17" xfId="0" applyFill="1" applyBorder="1"/>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6" borderId="14" xfId="0" applyFill="1" applyBorder="1" applyAlignment="1">
      <alignment wrapText="1"/>
    </xf>
    <xf numFmtId="0" fontId="0" fillId="37" borderId="14" xfId="0" applyFill="1" applyBorder="1" applyAlignment="1">
      <alignment wrapText="1"/>
    </xf>
    <xf numFmtId="0" fontId="0" fillId="37" borderId="15" xfId="0" applyFill="1" applyBorder="1" applyAlignment="1">
      <alignment wrapText="1"/>
    </xf>
    <xf numFmtId="0" fontId="0" fillId="36" borderId="15" xfId="0" applyFill="1" applyBorder="1" applyAlignment="1">
      <alignment wrapText="1"/>
    </xf>
    <xf numFmtId="0" fontId="0" fillId="36" borderId="16" xfId="0" applyFill="1" applyBorder="1" applyAlignment="1">
      <alignment wrapText="1"/>
    </xf>
    <xf numFmtId="0" fontId="0" fillId="33" borderId="0" xfId="0" applyFill="1" applyProtection="1"/>
    <xf numFmtId="2" fontId="25"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4"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horizontal="left" vertical="top"/>
    </xf>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1"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3" fillId="40" borderId="0" xfId="49" applyBorder="1">
      <alignment vertical="center"/>
    </xf>
    <xf numFmtId="0" fontId="0" fillId="34" borderId="0" xfId="0"/>
    <xf numFmtId="0" fontId="0" fillId="34" borderId="0" xfId="0" applyProtection="1"/>
    <xf numFmtId="0" fontId="24" fillId="33" borderId="0" xfId="0" applyFont="1" applyFill="1" applyProtection="1"/>
    <xf numFmtId="0" fontId="0" fillId="34" borderId="0" xfId="0" applyAlignment="1">
      <alignment horizontal="center" vertical="center"/>
    </xf>
    <xf numFmtId="0" fontId="0" fillId="34" borderId="0" xfId="0" applyAlignment="1">
      <alignment horizontal="center" vertical="center" wrapText="1"/>
    </xf>
    <xf numFmtId="0" fontId="0" fillId="43" borderId="33" xfId="0" applyFill="1" applyBorder="1" applyAlignment="1">
      <alignment wrapText="1"/>
    </xf>
    <xf numFmtId="0" fontId="0" fillId="43" borderId="35" xfId="0" applyFill="1" applyBorder="1" applyAlignment="1">
      <alignment wrapText="1"/>
    </xf>
    <xf numFmtId="0" fontId="0" fillId="43" borderId="35" xfId="0" applyFill="1" applyBorder="1" applyAlignment="1"/>
    <xf numFmtId="0" fontId="0" fillId="43" borderId="35" xfId="0" applyFill="1" applyBorder="1"/>
    <xf numFmtId="14" fontId="0" fillId="43" borderId="33" xfId="0" applyNumberFormat="1" applyFill="1" applyBorder="1" applyAlignment="1">
      <alignment wrapText="1"/>
    </xf>
    <xf numFmtId="0" fontId="0" fillId="43" borderId="33" xfId="0" applyFill="1" applyBorder="1" applyAlignment="1"/>
    <xf numFmtId="0" fontId="0" fillId="43" borderId="35" xfId="0" applyFont="1" applyFill="1" applyBorder="1" applyAlignment="1">
      <alignment vertical="top"/>
    </xf>
    <xf numFmtId="0" fontId="0" fillId="43" borderId="35" xfId="0" applyFont="1" applyFill="1" applyBorder="1" applyAlignment="1">
      <alignment vertical="top" wrapText="1"/>
    </xf>
    <xf numFmtId="0" fontId="24" fillId="42" borderId="38" xfId="0" applyFont="1" applyFill="1" applyBorder="1" applyAlignment="1">
      <alignment horizontal="left" wrapText="1"/>
    </xf>
    <xf numFmtId="0" fontId="24" fillId="42" borderId="38" xfId="0" applyFont="1" applyFill="1" applyBorder="1" applyAlignment="1">
      <alignment horizontal="left"/>
    </xf>
    <xf numFmtId="0" fontId="24" fillId="42" borderId="22" xfId="0" applyFont="1" applyFill="1" applyBorder="1" applyAlignment="1">
      <alignment horizontal="left"/>
    </xf>
    <xf numFmtId="0" fontId="24" fillId="42" borderId="40" xfId="0" applyFont="1" applyFill="1" applyBorder="1" applyAlignment="1">
      <alignment horizontal="left"/>
    </xf>
    <xf numFmtId="0" fontId="24" fillId="42" borderId="36" xfId="0" applyFont="1" applyFill="1" applyBorder="1" applyAlignment="1">
      <alignment horizontal="left" wrapText="1"/>
    </xf>
    <xf numFmtId="0" fontId="24" fillId="42" borderId="40" xfId="0" applyNumberFormat="1" applyFont="1" applyFill="1" applyBorder="1" applyAlignment="1">
      <alignment vertical="center"/>
    </xf>
    <xf numFmtId="0" fontId="24" fillId="42" borderId="22" xfId="0" applyFont="1" applyFill="1" applyBorder="1"/>
    <xf numFmtId="0" fontId="0" fillId="39" borderId="37" xfId="0" applyFont="1" applyFill="1" applyBorder="1" applyAlignment="1">
      <alignment horizontal="left"/>
    </xf>
    <xf numFmtId="0" fontId="24" fillId="42" borderId="38" xfId="0" applyFont="1" applyFill="1" applyBorder="1"/>
    <xf numFmtId="14" fontId="0" fillId="39" borderId="39" xfId="0" applyNumberFormat="1" applyFont="1" applyFill="1" applyBorder="1" applyAlignment="1">
      <alignment horizontal="left"/>
    </xf>
    <xf numFmtId="0" fontId="24" fillId="42" borderId="40" xfId="0" applyFont="1" applyFill="1" applyBorder="1"/>
    <xf numFmtId="0" fontId="0" fillId="39" borderId="34" xfId="0" applyFont="1" applyFill="1" applyBorder="1" applyAlignment="1">
      <alignment horizontal="left"/>
    </xf>
    <xf numFmtId="0" fontId="24" fillId="42" borderId="22" xfId="48" applyNumberFormat="1" applyFont="1" applyFill="1" applyBorder="1" applyAlignment="1">
      <alignment vertical="center"/>
    </xf>
    <xf numFmtId="0" fontId="24" fillId="42" borderId="38" xfId="48" applyNumberFormat="1" applyFont="1" applyFill="1" applyBorder="1" applyAlignment="1">
      <alignment vertical="center"/>
    </xf>
    <xf numFmtId="0" fontId="24" fillId="42" borderId="40" xfId="48" applyNumberFormat="1" applyFont="1" applyFill="1" applyBorder="1" applyAlignment="1">
      <alignment vertical="center"/>
    </xf>
    <xf numFmtId="0" fontId="37" fillId="42" borderId="42" xfId="0" applyFont="1" applyFill="1" applyBorder="1" applyAlignment="1">
      <alignment horizontal="center" vertical="center" wrapText="1"/>
    </xf>
    <xf numFmtId="0" fontId="0" fillId="43" borderId="43" xfId="0" applyFont="1" applyFill="1" applyBorder="1" applyAlignment="1">
      <alignment vertical="top" wrapText="1"/>
    </xf>
    <xf numFmtId="0" fontId="37" fillId="42" borderId="42" xfId="0" applyFont="1" applyFill="1" applyBorder="1" applyAlignment="1">
      <alignment horizontal="center" vertical="center"/>
    </xf>
    <xf numFmtId="0" fontId="0" fillId="43" borderId="43" xfId="0" applyFont="1" applyFill="1" applyBorder="1" applyAlignment="1">
      <alignment vertical="top"/>
    </xf>
    <xf numFmtId="0" fontId="0" fillId="43" borderId="43" xfId="0" applyFill="1" applyBorder="1" applyAlignment="1"/>
    <xf numFmtId="0" fontId="0" fillId="43" borderId="43" xfId="0" applyFill="1" applyBorder="1" applyAlignment="1">
      <alignment wrapText="1"/>
    </xf>
    <xf numFmtId="0" fontId="37" fillId="42" borderId="22" xfId="0" applyFont="1" applyFill="1" applyBorder="1" applyAlignment="1">
      <alignment horizontal="center" vertical="center" wrapText="1"/>
    </xf>
    <xf numFmtId="0" fontId="37" fillId="42" borderId="44" xfId="0" applyFont="1" applyFill="1" applyBorder="1" applyAlignment="1">
      <alignment horizontal="center" vertical="center" wrapText="1"/>
    </xf>
    <xf numFmtId="0" fontId="0" fillId="43" borderId="38" xfId="0" applyFill="1" applyBorder="1" applyAlignment="1">
      <alignment wrapText="1"/>
    </xf>
    <xf numFmtId="0" fontId="0" fillId="43" borderId="45" xfId="0" applyFill="1" applyBorder="1" applyAlignment="1">
      <alignment wrapText="1"/>
    </xf>
    <xf numFmtId="0" fontId="0" fillId="43" borderId="40" xfId="0" applyFill="1" applyBorder="1" applyAlignment="1">
      <alignment wrapText="1"/>
    </xf>
    <xf numFmtId="0" fontId="37" fillId="42" borderId="46" xfId="0" applyFont="1" applyFill="1" applyBorder="1" applyAlignment="1">
      <alignment horizontal="center" vertical="center" wrapText="1"/>
    </xf>
    <xf numFmtId="0" fontId="0" fillId="43" borderId="38" xfId="0" applyFill="1" applyBorder="1" applyAlignment="1"/>
    <xf numFmtId="0" fontId="0" fillId="43" borderId="32" xfId="0" applyFill="1" applyBorder="1" applyAlignment="1">
      <alignment horizontal="left"/>
    </xf>
    <xf numFmtId="0" fontId="0" fillId="43" borderId="45" xfId="0" applyFill="1" applyBorder="1" applyAlignment="1"/>
    <xf numFmtId="0" fontId="0" fillId="43" borderId="40" xfId="0" applyFill="1" applyBorder="1" applyAlignment="1"/>
    <xf numFmtId="0" fontId="37" fillId="42" borderId="22" xfId="0" applyFont="1" applyFill="1" applyBorder="1" applyAlignment="1">
      <alignment horizontal="center" vertical="center"/>
    </xf>
    <xf numFmtId="0" fontId="37" fillId="42" borderId="44" xfId="0" applyFont="1" applyFill="1" applyBorder="1" applyAlignment="1">
      <alignment horizontal="center" vertical="center"/>
    </xf>
    <xf numFmtId="14" fontId="0" fillId="43" borderId="40" xfId="0" applyNumberFormat="1" applyFill="1" applyBorder="1"/>
    <xf numFmtId="0" fontId="0" fillId="43" borderId="43" xfId="0" applyFill="1" applyBorder="1"/>
    <xf numFmtId="0" fontId="0" fillId="43" borderId="32" xfId="0" applyFill="1" applyBorder="1" applyAlignment="1">
      <alignment horizontal="left" wrapText="1"/>
    </xf>
    <xf numFmtId="0" fontId="0" fillId="43" borderId="47" xfId="0" applyFill="1" applyBorder="1" applyAlignment="1">
      <alignment horizontal="left" wrapText="1"/>
    </xf>
    <xf numFmtId="0" fontId="0" fillId="43" borderId="37" xfId="0" applyFont="1" applyFill="1" applyBorder="1" applyAlignment="1" applyProtection="1">
      <alignment horizontal="left" wrapText="1"/>
      <protection locked="0"/>
    </xf>
    <xf numFmtId="0" fontId="0" fillId="43" borderId="39" xfId="0" applyFont="1" applyFill="1" applyBorder="1" applyAlignment="1" applyProtection="1">
      <alignment horizontal="left"/>
      <protection locked="0"/>
    </xf>
    <xf numFmtId="0" fontId="0" fillId="43" borderId="34" xfId="0" applyFont="1" applyFill="1" applyBorder="1" applyAlignment="1" applyProtection="1">
      <alignment horizontal="left"/>
      <protection locked="0"/>
    </xf>
    <xf numFmtId="0" fontId="0" fillId="43" borderId="37" xfId="0" applyFont="1" applyFill="1" applyBorder="1" applyAlignment="1" applyProtection="1">
      <alignment horizontal="left"/>
      <protection locked="0"/>
    </xf>
    <xf numFmtId="49" fontId="0" fillId="43" borderId="39" xfId="0" applyNumberFormat="1" applyFont="1" applyFill="1" applyBorder="1" applyAlignment="1" applyProtection="1">
      <alignment horizontal="left"/>
      <protection locked="0"/>
    </xf>
    <xf numFmtId="22" fontId="0" fillId="43" borderId="39" xfId="0" applyNumberFormat="1" applyFont="1" applyFill="1" applyBorder="1" applyAlignment="1" applyProtection="1">
      <alignment horizontal="left"/>
      <protection locked="0"/>
    </xf>
    <xf numFmtId="49" fontId="0" fillId="43" borderId="34" xfId="0" applyNumberFormat="1" applyFont="1" applyFill="1" applyBorder="1" applyAlignment="1" applyProtection="1">
      <alignment horizontal="left"/>
      <protection locked="0"/>
    </xf>
    <xf numFmtId="49" fontId="0" fillId="43" borderId="37" xfId="0" applyNumberFormat="1" applyFont="1" applyFill="1" applyBorder="1" applyAlignment="1" applyProtection="1">
      <alignment horizontal="left"/>
      <protection locked="0"/>
    </xf>
    <xf numFmtId="0" fontId="0" fillId="43" borderId="37" xfId="48" applyNumberFormat="1" applyFont="1" applyFill="1" applyBorder="1" applyAlignment="1" applyProtection="1">
      <alignment horizontal="center" vertical="center"/>
      <protection locked="0"/>
    </xf>
    <xf numFmtId="0" fontId="0" fillId="43" borderId="39" xfId="48" applyNumberFormat="1" applyFont="1" applyFill="1" applyBorder="1" applyAlignment="1" applyProtection="1">
      <alignment horizontal="center" vertical="center"/>
      <protection locked="0"/>
    </xf>
    <xf numFmtId="0" fontId="0" fillId="43" borderId="34" xfId="48" applyNumberFormat="1" applyFont="1" applyFill="1" applyBorder="1" applyAlignment="1" applyProtection="1">
      <alignment horizontal="center" vertical="center"/>
      <protection locked="0"/>
    </xf>
    <xf numFmtId="0" fontId="36" fillId="0" borderId="45" xfId="54" applyNumberFormat="1" applyFont="1" applyFill="1" applyBorder="1" applyAlignment="1"/>
    <xf numFmtId="0" fontId="24" fillId="42" borderId="54" xfId="0" applyFont="1" applyFill="1" applyBorder="1" applyAlignment="1">
      <alignment horizontal="left" vertical="top" wrapText="1"/>
    </xf>
    <xf numFmtId="0" fontId="0" fillId="43" borderId="56" xfId="0" applyFont="1" applyFill="1" applyBorder="1" applyAlignment="1" applyProtection="1">
      <alignment horizontal="left" wrapText="1"/>
    </xf>
    <xf numFmtId="0" fontId="40" fillId="34" borderId="0" xfId="0" quotePrefix="1" applyFont="1"/>
    <xf numFmtId="0" fontId="35" fillId="34" borderId="0" xfId="0" applyNumberFormat="1" applyFont="1" applyAlignment="1" applyProtection="1">
      <alignment horizontal="left" vertical="top"/>
    </xf>
    <xf numFmtId="0" fontId="37" fillId="42" borderId="0" xfId="0" applyFont="1" applyFill="1" applyBorder="1" applyAlignment="1">
      <alignment horizontal="center" vertical="center" wrapText="1"/>
    </xf>
    <xf numFmtId="0" fontId="0" fillId="43" borderId="58" xfId="0" applyFill="1" applyBorder="1" applyAlignment="1"/>
    <xf numFmtId="0" fontId="0" fillId="43" borderId="32" xfId="0" applyFill="1" applyBorder="1" applyAlignment="1"/>
    <xf numFmtId="0" fontId="41" fillId="34" borderId="62" xfId="0" applyFont="1" applyBorder="1"/>
    <xf numFmtId="0" fontId="41" fillId="45" borderId="62" xfId="0" applyFont="1" applyFill="1" applyBorder="1"/>
    <xf numFmtId="2" fontId="38" fillId="44" borderId="22" xfId="50" applyBorder="1">
      <alignment horizontal="left" vertical="center" indent="1"/>
    </xf>
    <xf numFmtId="2" fontId="38" fillId="44" borderId="23" xfId="50" applyBorder="1">
      <alignment horizontal="left" vertical="center" indent="1"/>
    </xf>
    <xf numFmtId="0" fontId="42" fillId="0" borderId="0" xfId="56" applyFont="1" applyProtection="1"/>
    <xf numFmtId="0" fontId="0" fillId="34" borderId="0" xfId="0" applyFont="1" applyProtection="1"/>
    <xf numFmtId="0" fontId="42" fillId="0" borderId="0" xfId="56" applyFont="1" applyAlignment="1" applyProtection="1">
      <alignment horizontal="center" vertical="center"/>
    </xf>
    <xf numFmtId="0" fontId="42" fillId="0" borderId="0" xfId="56" applyFont="1" applyAlignment="1" applyProtection="1">
      <alignment horizontal="left"/>
    </xf>
    <xf numFmtId="0" fontId="0" fillId="34" borderId="0" xfId="0" applyFont="1" applyAlignment="1" applyProtection="1">
      <alignment vertical="center"/>
    </xf>
    <xf numFmtId="2" fontId="38" fillId="44" borderId="0" xfId="50" applyBorder="1">
      <alignment horizontal="left" vertical="center" indent="1"/>
    </xf>
    <xf numFmtId="0" fontId="42" fillId="0" borderId="0" xfId="56" applyFont="1" applyBorder="1" applyProtection="1"/>
    <xf numFmtId="0" fontId="42" fillId="0" borderId="22" xfId="56" applyFont="1" applyBorder="1" applyProtection="1"/>
    <xf numFmtId="0" fontId="42" fillId="0" borderId="0" xfId="56" applyFont="1" applyBorder="1" applyAlignment="1" applyProtection="1">
      <alignment horizontal="center" vertical="center"/>
    </xf>
    <xf numFmtId="0" fontId="43" fillId="44" borderId="0" xfId="56" applyFont="1" applyFill="1" applyBorder="1" applyAlignment="1" applyProtection="1">
      <alignment horizontal="center" vertical="center"/>
    </xf>
    <xf numFmtId="0" fontId="43" fillId="44" borderId="23" xfId="56" applyFont="1" applyFill="1" applyBorder="1" applyAlignment="1" applyProtection="1">
      <alignment horizontal="center" vertical="center"/>
    </xf>
    <xf numFmtId="0" fontId="30" fillId="44" borderId="19" xfId="56" applyFont="1" applyFill="1" applyBorder="1" applyAlignment="1" applyProtection="1">
      <alignment horizontal="center" vertical="center"/>
    </xf>
    <xf numFmtId="0" fontId="43" fillId="44" borderId="22" xfId="56" applyFont="1" applyFill="1" applyBorder="1" applyAlignment="1" applyProtection="1">
      <alignment horizontal="center" vertical="center"/>
    </xf>
    <xf numFmtId="0" fontId="42" fillId="34" borderId="22" xfId="56" applyFont="1" applyFill="1" applyBorder="1" applyAlignment="1" applyProtection="1">
      <alignment horizontal="center" vertical="center"/>
    </xf>
    <xf numFmtId="0" fontId="42" fillId="34" borderId="23" xfId="56" applyFont="1" applyFill="1" applyBorder="1" applyAlignment="1" applyProtection="1">
      <alignment horizontal="center" vertical="center"/>
    </xf>
    <xf numFmtId="0" fontId="42" fillId="34" borderId="42" xfId="56" applyFont="1" applyFill="1" applyBorder="1" applyAlignment="1" applyProtection="1">
      <alignment horizontal="center" vertical="center"/>
    </xf>
    <xf numFmtId="0" fontId="0" fillId="42" borderId="57" xfId="0" applyFont="1" applyFill="1" applyBorder="1" applyAlignment="1" applyProtection="1">
      <alignment horizontal="left" wrapText="1"/>
    </xf>
    <xf numFmtId="0" fontId="32" fillId="33" borderId="0" xfId="53" applyFont="1" applyFill="1" applyAlignment="1" applyProtection="1">
      <alignment vertical="top"/>
      <protection locked="0"/>
    </xf>
    <xf numFmtId="0" fontId="32" fillId="33" borderId="0" xfId="53" applyFont="1" applyFill="1" applyAlignment="1" applyProtection="1">
      <alignment horizontal="left" vertical="top"/>
      <protection locked="0"/>
    </xf>
    <xf numFmtId="0" fontId="24" fillId="46" borderId="66" xfId="0" applyFont="1" applyFill="1" applyBorder="1" applyAlignment="1" applyProtection="1">
      <alignment horizontal="left" wrapText="1"/>
      <protection locked="0"/>
    </xf>
    <xf numFmtId="0" fontId="0" fillId="43" borderId="67" xfId="0" applyFill="1" applyBorder="1" applyProtection="1">
      <protection locked="0"/>
    </xf>
    <xf numFmtId="0" fontId="0" fillId="43" borderId="67" xfId="0" applyNumberFormat="1" applyFont="1" applyFill="1" applyBorder="1" applyAlignment="1" applyProtection="1">
      <alignment horizontal="left"/>
      <protection locked="0"/>
    </xf>
    <xf numFmtId="0" fontId="0" fillId="43" borderId="67" xfId="0" applyNumberFormat="1" applyFont="1" applyFill="1" applyBorder="1" applyAlignment="1" applyProtection="1">
      <alignment horizontal="left" wrapText="1"/>
      <protection locked="0"/>
    </xf>
    <xf numFmtId="0" fontId="0" fillId="43" borderId="67" xfId="0" applyFont="1" applyFill="1" applyBorder="1" applyAlignment="1" applyProtection="1">
      <alignment horizontal="left" wrapText="1"/>
      <protection locked="0"/>
    </xf>
    <xf numFmtId="0" fontId="24" fillId="46" borderId="69" xfId="0" applyFont="1" applyFill="1" applyBorder="1" applyAlignment="1" applyProtection="1">
      <alignment horizontal="left" wrapText="1"/>
      <protection locked="0"/>
    </xf>
    <xf numFmtId="0" fontId="0" fillId="43" borderId="70" xfId="0" applyFill="1" applyBorder="1" applyProtection="1">
      <protection locked="0"/>
    </xf>
    <xf numFmtId="0" fontId="0" fillId="43" borderId="70" xfId="0" applyNumberFormat="1" applyFont="1" applyFill="1" applyBorder="1" applyAlignment="1" applyProtection="1">
      <alignment horizontal="left"/>
      <protection locked="0"/>
    </xf>
    <xf numFmtId="0" fontId="0" fillId="43" borderId="70" xfId="0" applyNumberFormat="1" applyFont="1" applyFill="1" applyBorder="1" applyAlignment="1" applyProtection="1">
      <alignment horizontal="left" wrapText="1"/>
      <protection locked="0"/>
    </xf>
    <xf numFmtId="0" fontId="0" fillId="43" borderId="70" xfId="0" applyFont="1" applyFill="1" applyBorder="1" applyAlignment="1" applyProtection="1">
      <alignment horizontal="left" wrapText="1"/>
      <protection locked="0"/>
    </xf>
    <xf numFmtId="2" fontId="23" fillId="40" borderId="0" xfId="49" applyFill="1" applyBorder="1" applyProtection="1">
      <alignment vertical="center"/>
    </xf>
    <xf numFmtId="2" fontId="23" fillId="40" borderId="0" xfId="49" applyFill="1" applyBorder="1" applyAlignment="1" applyProtection="1">
      <alignment vertical="center"/>
    </xf>
    <xf numFmtId="2" fontId="23" fillId="40" borderId="0" xfId="49" applyFill="1" applyBorder="1" applyAlignment="1" applyProtection="1">
      <alignment vertical="center" wrapText="1"/>
    </xf>
    <xf numFmtId="0" fontId="0" fillId="40" borderId="0" xfId="0" applyFill="1" applyBorder="1" applyProtection="1"/>
    <xf numFmtId="0" fontId="0" fillId="40" borderId="0" xfId="0" applyFont="1" applyFill="1" applyBorder="1" applyProtection="1"/>
    <xf numFmtId="0" fontId="0" fillId="34" borderId="0" xfId="0" applyAlignment="1">
      <alignment horizontal="center"/>
    </xf>
    <xf numFmtId="0" fontId="0" fillId="34" borderId="0" xfId="0" applyAlignment="1" applyProtection="1">
      <alignment horizontal="center" wrapText="1"/>
    </xf>
    <xf numFmtId="0" fontId="24" fillId="42" borderId="80" xfId="0" applyFont="1" applyFill="1" applyBorder="1" applyAlignment="1">
      <alignment horizontal="left"/>
    </xf>
    <xf numFmtId="0" fontId="0" fillId="34" borderId="81" xfId="0" applyBorder="1" applyAlignment="1">
      <alignment horizontal="center"/>
    </xf>
    <xf numFmtId="49" fontId="0" fillId="43" borderId="67" xfId="0" applyNumberFormat="1" applyFont="1" applyFill="1" applyBorder="1" applyAlignment="1" applyProtection="1">
      <alignment horizontal="left" wrapText="1"/>
      <protection locked="0"/>
    </xf>
    <xf numFmtId="49" fontId="0" fillId="43" borderId="70" xfId="0" applyNumberFormat="1" applyFont="1" applyFill="1" applyBorder="1" applyAlignment="1" applyProtection="1">
      <alignment horizontal="left" wrapText="1"/>
      <protection locked="0"/>
    </xf>
    <xf numFmtId="0" fontId="0" fillId="34" borderId="0" xfId="0" applyAlignment="1" applyProtection="1">
      <alignment wrapText="1"/>
    </xf>
    <xf numFmtId="0" fontId="24" fillId="42"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9" borderId="67" xfId="0" applyNumberFormat="1" applyFont="1" applyFill="1" applyBorder="1" applyAlignment="1" applyProtection="1">
      <alignment horizontal="center" vertical="top" wrapText="1"/>
      <protection locked="0"/>
    </xf>
    <xf numFmtId="0" fontId="0" fillId="39" borderId="70" xfId="0" applyNumberFormat="1" applyFont="1" applyFill="1" applyBorder="1" applyAlignment="1" applyProtection="1">
      <alignment horizontal="center" vertical="top" wrapText="1"/>
      <protection locked="0"/>
    </xf>
    <xf numFmtId="2" fontId="38" fillId="44" borderId="21" xfId="50" applyBorder="1">
      <alignment horizontal="left" vertical="center" indent="1"/>
    </xf>
    <xf numFmtId="2" fontId="38" fillId="34" borderId="0" xfId="0" applyNumberFormat="1" applyFont="1" applyBorder="1" applyAlignment="1">
      <alignment horizontal="center" vertical="center"/>
    </xf>
    <xf numFmtId="0" fontId="39" fillId="34" borderId="0" xfId="0" applyFont="1" applyBorder="1" applyAlignment="1">
      <alignment horizontal="left" vertical="center"/>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4" borderId="21"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4" fillId="34" borderId="0" xfId="0" applyFont="1" applyBorder="1" applyAlignment="1">
      <alignment horizontal="left"/>
    </xf>
    <xf numFmtId="0" fontId="0" fillId="34" borderId="0" xfId="0" applyFont="1" applyBorder="1" applyAlignment="1">
      <alignment horizontal="left" wrapText="1"/>
    </xf>
    <xf numFmtId="0" fontId="28" fillId="34" borderId="0" xfId="0" applyFont="1"/>
    <xf numFmtId="0" fontId="39" fillId="34" borderId="0" xfId="0" applyFont="1" applyBorder="1" applyAlignment="1">
      <alignment horizontal="left" vertical="center" indent="1"/>
    </xf>
    <xf numFmtId="0" fontId="0" fillId="34" borderId="0" xfId="0" applyBorder="1" applyAlignment="1">
      <alignment horizontal="left" vertical="center" wrapText="1" indent="1"/>
    </xf>
    <xf numFmtId="0" fontId="36" fillId="34" borderId="0" xfId="0" applyFont="1"/>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3" borderId="37" xfId="0" applyNumberFormat="1" applyFont="1" applyFill="1" applyBorder="1" applyAlignment="1" applyProtection="1">
      <alignment horizontal="left"/>
      <protection locked="0"/>
    </xf>
    <xf numFmtId="1" fontId="0" fillId="0" borderId="41" xfId="0" applyNumberFormat="1" applyFont="1" applyFill="1" applyBorder="1" applyAlignment="1" applyProtection="1">
      <alignment horizontal="left"/>
      <protection locked="0"/>
    </xf>
    <xf numFmtId="1" fontId="0" fillId="0" borderId="34"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4" fillId="42" borderId="86" xfId="0" applyFont="1" applyFill="1" applyBorder="1" applyAlignment="1">
      <alignment horizontal="left"/>
    </xf>
    <xf numFmtId="0" fontId="24" fillId="42" borderId="87" xfId="0" applyFont="1" applyFill="1" applyBorder="1" applyAlignment="1">
      <alignment horizontal="left"/>
    </xf>
    <xf numFmtId="0" fontId="24" fillId="42" borderId="88" xfId="0" applyFont="1" applyFill="1" applyBorder="1" applyAlignment="1">
      <alignment horizontal="left"/>
    </xf>
    <xf numFmtId="0" fontId="24" fillId="42" borderId="89" xfId="0" applyFont="1" applyFill="1" applyBorder="1" applyAlignment="1">
      <alignment horizontal="left"/>
    </xf>
    <xf numFmtId="2" fontId="38" fillId="44" borderId="60" xfId="50" applyBorder="1">
      <alignment horizontal="left" vertical="center" indent="1"/>
    </xf>
    <xf numFmtId="0" fontId="24" fillId="42" borderId="38" xfId="0" applyFont="1" applyFill="1" applyBorder="1" applyAlignment="1">
      <alignment horizontal="left"/>
    </xf>
    <xf numFmtId="0" fontId="24" fillId="42" borderId="58" xfId="0" applyFont="1" applyFill="1" applyBorder="1" applyAlignment="1">
      <alignment horizontal="left"/>
    </xf>
    <xf numFmtId="0" fontId="24" fillId="42" borderId="85"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4" fillId="42" borderId="86" xfId="0" applyFont="1" applyFill="1" applyBorder="1" applyAlignment="1"/>
    <xf numFmtId="0" fontId="24" fillId="42" borderId="87" xfId="0" applyFont="1" applyFill="1" applyBorder="1" applyAlignment="1"/>
    <xf numFmtId="0" fontId="24" fillId="42" borderId="22" xfId="0" applyFont="1" applyFill="1" applyBorder="1" applyAlignment="1"/>
    <xf numFmtId="0" fontId="24" fillId="42" borderId="0" xfId="0" applyFont="1" applyFill="1" applyBorder="1" applyAlignment="1"/>
    <xf numFmtId="0" fontId="24" fillId="42" borderId="23" xfId="0" applyFont="1" applyFill="1" applyBorder="1" applyAlignment="1"/>
    <xf numFmtId="0" fontId="24" fillId="42" borderId="116" xfId="0" applyFont="1" applyFill="1" applyBorder="1" applyAlignment="1">
      <alignment horizontal="left"/>
    </xf>
    <xf numFmtId="1" fontId="0" fillId="33" borderId="84" xfId="0" applyNumberFormat="1" applyFont="1" applyFill="1" applyBorder="1" applyAlignment="1" applyProtection="1">
      <alignment horizontal="left"/>
      <protection locked="0"/>
    </xf>
    <xf numFmtId="1" fontId="0" fillId="33" borderId="47"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37" fillId="34" borderId="0" xfId="0" applyFont="1" applyBorder="1" applyAlignment="1">
      <alignment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4" fillId="42" borderId="85" xfId="0" applyFont="1" applyFill="1" applyBorder="1" applyAlignment="1"/>
    <xf numFmtId="2" fontId="25"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3" borderId="120" xfId="0" applyFont="1" applyFill="1" applyBorder="1" applyAlignment="1" applyProtection="1">
      <protection locked="0"/>
    </xf>
    <xf numFmtId="22" fontId="0" fillId="43" borderId="120" xfId="0" applyNumberFormat="1" applyFont="1" applyFill="1" applyBorder="1" applyAlignment="1" applyProtection="1">
      <alignment horizontal="left" vertical="center"/>
      <protection locked="0"/>
    </xf>
    <xf numFmtId="14" fontId="0" fillId="42" borderId="121" xfId="0" applyNumberFormat="1" applyFont="1" applyFill="1" applyBorder="1" applyAlignment="1" applyProtection="1">
      <alignment horizontal="left"/>
    </xf>
    <xf numFmtId="0" fontId="0" fillId="34" borderId="117" xfId="0" applyBorder="1" applyProtection="1"/>
    <xf numFmtId="1" fontId="0" fillId="33" borderId="125" xfId="0" applyNumberFormat="1" applyFont="1" applyFill="1" applyBorder="1" applyAlignment="1" applyProtection="1">
      <alignment horizontal="left"/>
      <protection locked="0"/>
    </xf>
    <xf numFmtId="0" fontId="0" fillId="47" borderId="0" xfId="0" applyFill="1"/>
    <xf numFmtId="0" fontId="45" fillId="34" borderId="0" xfId="0" applyFont="1" applyAlignment="1">
      <alignment vertical="center"/>
    </xf>
    <xf numFmtId="0" fontId="45" fillId="34" borderId="0" xfId="0" applyFont="1"/>
    <xf numFmtId="0" fontId="0" fillId="34" borderId="0" xfId="0" quotePrefix="1"/>
    <xf numFmtId="0" fontId="0" fillId="34" borderId="0" xfId="0" applyFont="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28" fillId="34" borderId="0" xfId="0" applyFont="1" applyBorder="1" applyAlignment="1" applyProtection="1">
      <alignment vertical="top" wrapText="1"/>
    </xf>
    <xf numFmtId="0" fontId="0" fillId="34" borderId="0" xfId="0" applyBorder="1" applyAlignment="1" applyProtection="1"/>
    <xf numFmtId="0" fontId="0" fillId="34" borderId="0" xfId="0" applyAlignment="1">
      <alignment horizontal="center"/>
    </xf>
    <xf numFmtId="0" fontId="0" fillId="34" borderId="0" xfId="0" applyAlignment="1"/>
    <xf numFmtId="0" fontId="0" fillId="34" borderId="0" xfId="0" applyProtection="1"/>
    <xf numFmtId="2" fontId="33" fillId="34" borderId="0" xfId="0" applyNumberFormat="1" applyFont="1" applyBorder="1" applyAlignment="1">
      <alignment horizontal="left"/>
    </xf>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60" xfId="0" applyFont="1" applyBorder="1" applyAlignment="1" applyProtection="1">
      <alignment vertical="top"/>
    </xf>
    <xf numFmtId="22" fontId="0" fillId="34" borderId="0" xfId="0" applyNumberFormat="1" applyFont="1" applyBorder="1" applyAlignment="1"/>
    <xf numFmtId="0" fontId="0" fillId="34" borderId="60" xfId="0" applyBorder="1" applyAlignment="1" applyProtection="1"/>
    <xf numFmtId="2" fontId="35" fillId="34" borderId="0" xfId="52" applyNumberFormat="1" applyBorder="1" applyAlignment="1">
      <alignment horizontal="center" vertical="top" wrapText="1"/>
    </xf>
    <xf numFmtId="0" fontId="0" fillId="43" borderId="135" xfId="0" applyFill="1" applyBorder="1" applyAlignment="1" applyProtection="1">
      <alignment horizontal="center"/>
      <protection locked="0"/>
    </xf>
    <xf numFmtId="0" fontId="0" fillId="33" borderId="76" xfId="0" applyNumberFormat="1" applyFont="1" applyFill="1" applyBorder="1" applyAlignment="1" applyProtection="1">
      <alignment horizontal="left"/>
      <protection locked="0"/>
    </xf>
    <xf numFmtId="0" fontId="0" fillId="33" borderId="77" xfId="0" applyNumberFormat="1" applyFont="1" applyFill="1" applyBorder="1" applyAlignment="1" applyProtection="1">
      <alignment horizontal="left"/>
      <protection locked="0"/>
    </xf>
    <xf numFmtId="0" fontId="0" fillId="34" borderId="0" xfId="0" applyAlignment="1" applyProtection="1">
      <alignment wrapText="1"/>
    </xf>
    <xf numFmtId="0" fontId="0" fillId="34" borderId="0" xfId="0" applyProtection="1"/>
    <xf numFmtId="0" fontId="0" fillId="34" borderId="0" xfId="0" applyAlignment="1">
      <alignment horizontal="center"/>
    </xf>
    <xf numFmtId="0" fontId="24" fillId="42" borderId="40" xfId="0" applyFont="1" applyFill="1" applyBorder="1" applyAlignment="1">
      <alignment horizontal="left"/>
    </xf>
    <xf numFmtId="0" fontId="24" fillId="42" borderId="22"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60" xfId="52" applyNumberFormat="1" applyBorder="1" applyAlignment="1">
      <alignment vertical="top"/>
    </xf>
    <xf numFmtId="2" fontId="38" fillId="34" borderId="22" xfId="0" applyNumberFormat="1" applyFont="1" applyBorder="1" applyAlignment="1">
      <alignment vertical="center"/>
    </xf>
    <xf numFmtId="0" fontId="24" fillId="34" borderId="117" xfId="0" applyFont="1" applyBorder="1" applyAlignment="1">
      <alignment horizontal="left"/>
    </xf>
    <xf numFmtId="0" fontId="24" fillId="34" borderId="0" xfId="0" applyFont="1" applyBorder="1" applyAlignment="1">
      <alignment wrapText="1"/>
    </xf>
    <xf numFmtId="0" fontId="28" fillId="34" borderId="0" xfId="0" applyFont="1" applyBorder="1" applyAlignment="1">
      <alignment vertical="top" wrapText="1"/>
    </xf>
    <xf numFmtId="0" fontId="0" fillId="34" borderId="63" xfId="0" applyBorder="1" applyProtection="1"/>
    <xf numFmtId="0" fontId="0" fillId="34" borderId="0" xfId="0" applyFont="1" applyBorder="1" applyAlignment="1"/>
    <xf numFmtId="0" fontId="0" fillId="43" borderId="145" xfId="0" applyFont="1" applyFill="1" applyBorder="1" applyAlignment="1" applyProtection="1">
      <alignment horizontal="center" wrapText="1"/>
      <protection locked="0"/>
    </xf>
    <xf numFmtId="0" fontId="0" fillId="43" borderId="146" xfId="0" applyFont="1" applyFill="1" applyBorder="1" applyAlignment="1" applyProtection="1">
      <alignment horizontal="center" wrapText="1"/>
      <protection locked="0"/>
    </xf>
    <xf numFmtId="0" fontId="0" fillId="42" borderId="147" xfId="0" applyFont="1" applyFill="1" applyBorder="1" applyAlignment="1">
      <alignment horizontal="center" wrapText="1"/>
    </xf>
    <xf numFmtId="2" fontId="38" fillId="44" borderId="19" xfId="50" applyAlignment="1">
      <alignment horizontal="left" vertical="center"/>
    </xf>
    <xf numFmtId="0" fontId="0" fillId="34" borderId="0" xfId="0" applyProtection="1"/>
    <xf numFmtId="0" fontId="37" fillId="42" borderId="72" xfId="0" applyFont="1" applyFill="1" applyBorder="1" applyAlignment="1">
      <alignment horizontal="center" vertical="center" wrapText="1"/>
    </xf>
    <xf numFmtId="0" fontId="37" fillId="42" borderId="73" xfId="0" applyFont="1" applyFill="1" applyBorder="1" applyAlignment="1">
      <alignment horizontal="center" vertical="center" wrapText="1"/>
    </xf>
    <xf numFmtId="0" fontId="37" fillId="42" borderId="74" xfId="0" applyFont="1" applyFill="1" applyBorder="1" applyAlignment="1">
      <alignment horizontal="center" vertical="center" wrapText="1"/>
    </xf>
    <xf numFmtId="0" fontId="37" fillId="42" borderId="73" xfId="0" applyFont="1" applyFill="1" applyBorder="1" applyAlignment="1">
      <alignment horizontal="center" vertical="center"/>
    </xf>
    <xf numFmtId="0" fontId="37" fillId="42" borderId="137" xfId="0" applyFont="1" applyFill="1" applyBorder="1" applyAlignment="1" applyProtection="1">
      <alignment horizontal="center" vertical="center" wrapText="1"/>
    </xf>
    <xf numFmtId="0" fontId="37" fillId="42" borderId="72" xfId="0" applyFont="1" applyFill="1" applyBorder="1" applyAlignment="1" applyProtection="1">
      <alignment horizontal="center" vertical="center" wrapText="1"/>
    </xf>
    <xf numFmtId="0" fontId="37" fillId="42" borderId="75" xfId="0" applyFont="1" applyFill="1" applyBorder="1" applyAlignment="1" applyProtection="1">
      <alignment horizontal="center" vertical="center" wrapText="1"/>
    </xf>
    <xf numFmtId="0" fontId="37" fillId="42" borderId="73" xfId="0" applyFont="1" applyFill="1" applyBorder="1" applyAlignment="1" applyProtection="1">
      <alignment horizontal="center" vertical="center" wrapText="1"/>
    </xf>
    <xf numFmtId="0" fontId="37" fillId="42" borderId="92" xfId="0" applyFont="1" applyFill="1" applyBorder="1" applyAlignment="1" applyProtection="1">
      <alignment horizontal="center" vertical="center" wrapText="1"/>
    </xf>
    <xf numFmtId="0" fontId="37" fillId="42" borderId="74" xfId="0" applyFont="1" applyFill="1" applyBorder="1" applyAlignment="1" applyProtection="1">
      <alignment horizontal="center" vertical="center" wrapText="1"/>
    </xf>
    <xf numFmtId="0" fontId="37" fillId="42" borderId="73" xfId="0" applyFont="1" applyFill="1" applyBorder="1" applyAlignment="1" applyProtection="1">
      <alignment horizontal="center" vertical="center"/>
    </xf>
    <xf numFmtId="2" fontId="38" fillId="44" borderId="142" xfId="50" applyFill="1" applyBorder="1" applyAlignment="1">
      <alignment vertical="center"/>
    </xf>
    <xf numFmtId="2" fontId="38" fillId="44" borderId="143" xfId="50" applyFill="1" applyBorder="1" applyAlignment="1">
      <alignment vertical="center"/>
    </xf>
    <xf numFmtId="0" fontId="0" fillId="46" borderId="93" xfId="0" applyNumberFormat="1" applyFont="1" applyFill="1" applyBorder="1" applyAlignment="1" applyProtection="1">
      <alignment horizontal="left" vertical="top"/>
      <protection locked="0"/>
    </xf>
    <xf numFmtId="0" fontId="0" fillId="43" borderId="76" xfId="0" applyNumberFormat="1" applyFont="1" applyFill="1" applyBorder="1" applyAlignment="1" applyProtection="1">
      <alignment horizontal="left"/>
      <protection locked="0"/>
    </xf>
    <xf numFmtId="0" fontId="37" fillId="42" borderId="92" xfId="0" applyFont="1" applyFill="1" applyBorder="1" applyAlignment="1">
      <alignment horizontal="center" vertical="center" wrapText="1"/>
    </xf>
    <xf numFmtId="0" fontId="0" fillId="43" borderId="77" xfId="0" applyNumberFormat="1" applyFont="1" applyFill="1" applyBorder="1" applyAlignment="1" applyProtection="1">
      <alignment horizontal="left"/>
      <protection locked="0"/>
    </xf>
    <xf numFmtId="0" fontId="37" fillId="42" borderId="75" xfId="0" applyFont="1" applyFill="1" applyBorder="1" applyAlignment="1">
      <alignment horizontal="center" vertical="center" wrapText="1"/>
    </xf>
    <xf numFmtId="0" fontId="0" fillId="46" borderId="94" xfId="0" applyNumberFormat="1" applyFont="1" applyFill="1" applyBorder="1" applyAlignment="1" applyProtection="1">
      <alignment horizontal="left" vertical="top"/>
      <protection locked="0"/>
    </xf>
    <xf numFmtId="0" fontId="0" fillId="34" borderId="0" xfId="0" applyAlignment="1" applyProtection="1">
      <alignment horizontal="center" vertical="center"/>
    </xf>
    <xf numFmtId="0" fontId="24" fillId="42" borderId="22" xfId="0" applyFont="1" applyFill="1" applyBorder="1" applyAlignment="1">
      <alignment horizontal="left"/>
    </xf>
    <xf numFmtId="0" fontId="24" fillId="42" borderId="96" xfId="0" applyFont="1" applyFill="1" applyBorder="1" applyAlignment="1">
      <alignment horizontal="left"/>
    </xf>
    <xf numFmtId="0" fontId="24" fillId="42" borderId="36" xfId="0" applyFont="1" applyFill="1" applyBorder="1" applyAlignment="1">
      <alignment horizontal="left"/>
    </xf>
    <xf numFmtId="0" fontId="24" fillId="42" borderId="97"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3" borderId="67" xfId="0" applyFill="1" applyBorder="1" applyAlignment="1" applyProtection="1">
      <alignment horizontal="center"/>
      <protection locked="0"/>
    </xf>
    <xf numFmtId="0" fontId="28" fillId="34" borderId="0" xfId="0" applyFont="1" applyBorder="1" applyAlignment="1"/>
    <xf numFmtId="2" fontId="38" fillId="44" borderId="19" xfId="50" applyBorder="1" applyAlignment="1">
      <alignment horizontal="left" vertical="center"/>
    </xf>
    <xf numFmtId="0" fontId="0" fillId="43" borderId="70" xfId="0" applyFill="1" applyBorder="1" applyAlignment="1" applyProtection="1">
      <alignment horizontal="center"/>
      <protection locked="0"/>
    </xf>
    <xf numFmtId="0" fontId="0" fillId="49" borderId="0" xfId="0" applyFill="1"/>
    <xf numFmtId="0" fontId="45" fillId="49" borderId="0" xfId="0" applyFont="1" applyFill="1" applyAlignment="1">
      <alignment vertical="center"/>
    </xf>
    <xf numFmtId="0" fontId="0" fillId="34" borderId="0" xfId="0" applyProtection="1"/>
    <xf numFmtId="0" fontId="0" fillId="34" borderId="0" xfId="0" applyProtection="1"/>
    <xf numFmtId="0" fontId="24" fillId="49" borderId="0" xfId="0" applyFont="1" applyFill="1"/>
    <xf numFmtId="0" fontId="35" fillId="34" borderId="0" xfId="52" applyNumberFormat="1" applyBorder="1" applyAlignment="1">
      <alignment horizontal="left" vertical="top" wrapText="1"/>
    </xf>
    <xf numFmtId="0" fontId="24" fillId="42" borderId="88" xfId="0" applyFont="1" applyFill="1" applyBorder="1" applyAlignment="1"/>
    <xf numFmtId="0" fontId="24" fillId="42" borderId="116" xfId="0" applyFont="1" applyFill="1" applyBorder="1" applyAlignment="1"/>
    <xf numFmtId="0" fontId="24" fillId="42" borderId="89" xfId="0" applyFont="1" applyFill="1" applyBorder="1" applyAlignment="1"/>
    <xf numFmtId="0" fontId="24" fillId="42" borderId="86" xfId="0" applyFont="1" applyFill="1" applyBorder="1" applyAlignment="1"/>
    <xf numFmtId="0" fontId="24" fillId="42" borderId="85" xfId="0" applyFont="1" applyFill="1" applyBorder="1" applyAlignment="1"/>
    <xf numFmtId="0" fontId="24" fillId="42" borderId="87"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37" fillId="42" borderId="46" xfId="0" applyFont="1" applyFill="1" applyBorder="1" applyAlignment="1">
      <alignment horizontal="left" vertical="top" wrapText="1"/>
    </xf>
    <xf numFmtId="0" fontId="37" fillId="42" borderId="82" xfId="0" applyFont="1" applyFill="1" applyBorder="1" applyAlignment="1">
      <alignment vertical="top" wrapText="1"/>
    </xf>
    <xf numFmtId="0" fontId="37" fillId="42" borderId="46" xfId="0" applyFont="1" applyFill="1" applyBorder="1" applyAlignment="1">
      <alignment vertical="top" wrapText="1"/>
    </xf>
    <xf numFmtId="0" fontId="37" fillId="42" borderId="82" xfId="0" applyFont="1" applyFill="1" applyBorder="1" applyAlignment="1">
      <alignment horizontal="left" vertical="top" wrapText="1"/>
    </xf>
    <xf numFmtId="2" fontId="35" fillId="34" borderId="0" xfId="0" applyNumberFormat="1" applyFont="1" applyBorder="1" applyAlignment="1">
      <alignment horizontal="center" wrapText="1"/>
    </xf>
    <xf numFmtId="0" fontId="50" fillId="34" borderId="72" xfId="0" quotePrefix="1" applyFont="1" applyBorder="1" applyAlignment="1">
      <alignment horizontal="left" vertical="top"/>
    </xf>
    <xf numFmtId="0" fontId="50" fillId="34" borderId="75" xfId="0" quotePrefix="1" applyFont="1" applyBorder="1" applyAlignment="1">
      <alignment horizontal="left" vertical="top"/>
    </xf>
    <xf numFmtId="0" fontId="50" fillId="34" borderId="73" xfId="0" quotePrefix="1" applyFont="1" applyBorder="1" applyAlignment="1">
      <alignment horizontal="left" vertical="top"/>
    </xf>
    <xf numFmtId="0" fontId="50" fillId="34" borderId="92" xfId="0" quotePrefix="1" applyFont="1" applyBorder="1" applyAlignment="1">
      <alignment horizontal="left" vertical="top"/>
    </xf>
    <xf numFmtId="0" fontId="50" fillId="34" borderId="95" xfId="0" quotePrefix="1" applyFont="1" applyBorder="1" applyAlignment="1">
      <alignment vertical="top"/>
    </xf>
    <xf numFmtId="0" fontId="50" fillId="34" borderId="75" xfId="0" quotePrefix="1" applyFont="1" applyBorder="1" applyAlignment="1">
      <alignment vertical="top"/>
    </xf>
    <xf numFmtId="0" fontId="50" fillId="34" borderId="74" xfId="0" quotePrefix="1" applyFont="1" applyBorder="1" applyAlignment="1">
      <alignment horizontal="left" vertical="top"/>
    </xf>
    <xf numFmtId="0" fontId="0" fillId="49" borderId="0" xfId="0" quotePrefix="1" applyFill="1"/>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4" fillId="42" borderId="160" xfId="0" applyFont="1" applyFill="1" applyBorder="1" applyAlignment="1">
      <alignment horizontal="left"/>
    </xf>
    <xf numFmtId="0" fontId="24" fillId="42" borderId="134" xfId="0" applyFont="1" applyFill="1" applyBorder="1" applyAlignment="1">
      <alignment horizontal="left"/>
    </xf>
    <xf numFmtId="22" fontId="0" fillId="43" borderId="34" xfId="0" applyNumberFormat="1" applyFont="1" applyFill="1" applyBorder="1" applyAlignment="1" applyProtection="1">
      <alignment horizontal="center" wrapText="1"/>
      <protection locked="0"/>
    </xf>
    <xf numFmtId="0" fontId="0" fillId="43" borderId="67" xfId="0" applyFill="1" applyBorder="1" applyAlignment="1" applyProtection="1">
      <alignment horizontal="center" wrapText="1"/>
      <protection locked="0"/>
    </xf>
    <xf numFmtId="0" fontId="0" fillId="43" borderId="76" xfId="0" applyFont="1" applyFill="1" applyBorder="1" applyAlignment="1" applyProtection="1">
      <alignment horizontal="center" wrapText="1"/>
      <protection locked="0"/>
    </xf>
    <xf numFmtId="0" fontId="0" fillId="43" borderId="70" xfId="0" applyFill="1" applyBorder="1" applyAlignment="1" applyProtection="1">
      <alignment horizontal="center" wrapText="1"/>
      <protection locked="0"/>
    </xf>
    <xf numFmtId="0" fontId="0" fillId="43" borderId="77" xfId="0" applyFont="1" applyFill="1" applyBorder="1" applyAlignment="1" applyProtection="1">
      <alignment horizontal="center" wrapText="1"/>
      <protection locked="0"/>
    </xf>
    <xf numFmtId="0" fontId="24" fillId="46" borderId="66" xfId="0" applyFont="1" applyFill="1" applyBorder="1" applyAlignment="1" applyProtection="1">
      <alignment horizontal="center" wrapText="1"/>
      <protection locked="0"/>
    </xf>
    <xf numFmtId="0" fontId="24" fillId="46" borderId="69" xfId="0" applyFont="1" applyFill="1" applyBorder="1" applyAlignment="1" applyProtection="1">
      <alignment horizontal="center" wrapText="1"/>
      <protection locked="0"/>
    </xf>
    <xf numFmtId="0" fontId="0" fillId="43" borderId="68" xfId="0" applyFont="1" applyFill="1" applyBorder="1" applyAlignment="1" applyProtection="1">
      <alignment horizontal="center" wrapText="1"/>
      <protection locked="0"/>
    </xf>
    <xf numFmtId="0" fontId="0" fillId="43" borderId="71" xfId="0" applyFont="1" applyFill="1" applyBorder="1" applyAlignment="1" applyProtection="1">
      <alignment horizontal="center" wrapText="1"/>
      <protection locked="0"/>
    </xf>
    <xf numFmtId="1" fontId="0" fillId="33" borderId="125" xfId="0" applyNumberFormat="1" applyFont="1" applyFill="1" applyBorder="1" applyAlignment="1" applyProtection="1">
      <alignment horizontal="left"/>
      <protection locked="0"/>
    </xf>
    <xf numFmtId="2" fontId="38" fillId="44" borderId="141" xfId="50" applyFill="1" applyBorder="1" applyAlignment="1">
      <alignment horizontal="left" vertical="center" indent="1"/>
    </xf>
    <xf numFmtId="1" fontId="0" fillId="33" borderId="132" xfId="0" applyNumberFormat="1" applyFont="1" applyFill="1" applyBorder="1" applyAlignment="1" applyProtection="1">
      <alignment horizontal="left"/>
      <protection locked="0"/>
    </xf>
    <xf numFmtId="0" fontId="0" fillId="43" borderId="58" xfId="0" applyNumberFormat="1" applyFont="1" applyFill="1" applyBorder="1" applyAlignment="1" applyProtection="1">
      <alignment horizontal="left"/>
      <protection locked="0"/>
    </xf>
    <xf numFmtId="0" fontId="0" fillId="43" borderId="58" xfId="0" applyFont="1" applyFill="1" applyBorder="1" applyAlignment="1" applyProtection="1">
      <alignment horizontal="left" wrapText="1"/>
      <protection locked="0"/>
    </xf>
    <xf numFmtId="0" fontId="0" fillId="43" borderId="79" xfId="0" applyFont="1" applyFill="1" applyBorder="1" applyAlignment="1" applyProtection="1">
      <alignment horizontal="left" wrapText="1"/>
      <protection locked="0"/>
    </xf>
    <xf numFmtId="49" fontId="0" fillId="43" borderId="34" xfId="0" applyNumberFormat="1" applyFont="1" applyFill="1" applyBorder="1" applyAlignment="1" applyProtection="1">
      <alignment horizontal="center"/>
      <protection locked="0"/>
    </xf>
    <xf numFmtId="0" fontId="37" fillId="42" borderId="75" xfId="0" applyFont="1" applyFill="1" applyBorder="1" applyAlignment="1" applyProtection="1">
      <alignment horizontal="center" vertical="center" wrapText="1"/>
    </xf>
    <xf numFmtId="49" fontId="0" fillId="43" borderId="76" xfId="0" applyNumberFormat="1" applyFill="1" applyBorder="1" applyProtection="1">
      <protection locked="0"/>
    </xf>
    <xf numFmtId="49" fontId="0" fillId="43" borderId="77" xfId="0" applyNumberFormat="1" applyFill="1" applyBorder="1" applyProtection="1">
      <protection locked="0"/>
    </xf>
    <xf numFmtId="0" fontId="24" fillId="42" borderId="98" xfId="0" applyFont="1" applyFill="1" applyBorder="1" applyAlignment="1"/>
    <xf numFmtId="0" fontId="24" fillId="42" borderId="99" xfId="0" applyFont="1" applyFill="1" applyBorder="1" applyAlignment="1"/>
    <xf numFmtId="0" fontId="37" fillId="42" borderId="95" xfId="0" applyFont="1" applyFill="1" applyBorder="1" applyAlignment="1">
      <alignment horizontal="center" vertical="center" wrapText="1"/>
    </xf>
    <xf numFmtId="0" fontId="39" fillId="34" borderId="0" xfId="0" applyFont="1" applyBorder="1" applyAlignment="1">
      <alignment vertical="center"/>
    </xf>
    <xf numFmtId="0" fontId="0" fillId="34" borderId="0" xfId="0" applyProtection="1"/>
    <xf numFmtId="0" fontId="37" fillId="42" borderId="75" xfId="0" applyFont="1" applyFill="1" applyBorder="1" applyAlignment="1" applyProtection="1">
      <alignment vertical="center" wrapText="1"/>
    </xf>
    <xf numFmtId="0" fontId="0" fillId="43" borderId="76" xfId="0" applyNumberFormat="1" applyFont="1" applyFill="1" applyBorder="1" applyAlignment="1" applyProtection="1">
      <alignment wrapText="1"/>
      <protection locked="0"/>
    </xf>
    <xf numFmtId="0" fontId="0" fillId="33" borderId="76" xfId="0" applyNumberFormat="1" applyFont="1" applyFill="1" applyBorder="1" applyAlignment="1" applyProtection="1">
      <protection locked="0"/>
    </xf>
    <xf numFmtId="0" fontId="0" fillId="33" borderId="77" xfId="0" applyNumberFormat="1" applyFont="1" applyFill="1" applyBorder="1" applyAlignment="1" applyProtection="1">
      <protection locked="0"/>
    </xf>
    <xf numFmtId="0" fontId="37" fillId="42" borderId="75" xfId="0" applyFont="1" applyFill="1" applyBorder="1" applyAlignment="1">
      <alignment vertical="center" wrapText="1"/>
    </xf>
    <xf numFmtId="0" fontId="0" fillId="43" borderId="76" xfId="0" applyNumberFormat="1" applyFont="1" applyFill="1" applyBorder="1" applyAlignment="1" applyProtection="1">
      <alignment vertical="top"/>
      <protection locked="0"/>
    </xf>
    <xf numFmtId="0" fontId="0" fillId="43" borderId="77" xfId="0" applyNumberFormat="1" applyFont="1" applyFill="1" applyBorder="1" applyAlignment="1" applyProtection="1">
      <alignment vertical="top"/>
      <protection locked="0"/>
    </xf>
    <xf numFmtId="0" fontId="0" fillId="43" borderId="67" xfId="0" applyNumberFormat="1" applyFont="1" applyFill="1" applyBorder="1" applyAlignment="1" applyProtection="1">
      <alignment horizontal="left" vertical="top"/>
      <protection locked="0"/>
    </xf>
    <xf numFmtId="0" fontId="0" fillId="34" borderId="0" xfId="0" applyProtection="1"/>
    <xf numFmtId="2" fontId="0" fillId="0" borderId="84" xfId="0" applyNumberFormat="1" applyFont="1" applyFill="1" applyBorder="1" applyAlignment="1" applyProtection="1">
      <alignment horizontal="center"/>
      <protection locked="0"/>
    </xf>
    <xf numFmtId="0" fontId="37" fillId="42" borderId="85" xfId="0" applyFont="1" applyFill="1" applyBorder="1" applyAlignment="1">
      <alignment horizontal="center" vertical="center" wrapText="1"/>
    </xf>
    <xf numFmtId="0" fontId="37" fillId="42" borderId="46"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24" fillId="42" borderId="0" xfId="0" applyFont="1" applyFill="1" applyBorder="1" applyAlignment="1">
      <alignment horizontal="left"/>
    </xf>
    <xf numFmtId="0" fontId="24" fillId="42" borderId="116" xfId="0" applyFont="1" applyFill="1" applyBorder="1" applyAlignment="1"/>
    <xf numFmtId="0" fontId="24" fillId="42" borderId="89" xfId="0" applyFont="1" applyFill="1" applyBorder="1" applyAlignment="1"/>
    <xf numFmtId="0" fontId="24" fillId="42" borderId="40" xfId="0" applyFont="1" applyFill="1" applyBorder="1" applyAlignment="1"/>
    <xf numFmtId="0" fontId="24" fillId="42" borderId="79" xfId="0" applyFont="1" applyFill="1" applyBorder="1" applyAlignment="1"/>
    <xf numFmtId="0" fontId="24" fillId="42" borderId="90" xfId="0" applyFont="1" applyFill="1" applyBorder="1" applyAlignment="1"/>
    <xf numFmtId="0" fontId="24" fillId="42" borderId="79" xfId="0" applyFont="1" applyFill="1" applyBorder="1" applyAlignment="1">
      <alignment horizontal="left"/>
    </xf>
    <xf numFmtId="0" fontId="0" fillId="34" borderId="0" xfId="0" applyProtection="1"/>
    <xf numFmtId="0" fontId="24" fillId="42" borderId="85" xfId="0" applyFont="1" applyFill="1" applyBorder="1" applyAlignment="1"/>
    <xf numFmtId="0" fontId="24" fillId="42" borderId="87" xfId="0" applyFont="1" applyFill="1" applyBorder="1" applyAlignment="1"/>
    <xf numFmtId="0" fontId="0" fillId="40" borderId="0" xfId="0" applyFill="1" applyBorder="1" applyAlignment="1" applyProtection="1">
      <alignment wrapText="1"/>
    </xf>
    <xf numFmtId="0" fontId="28" fillId="40" borderId="0" xfId="0" applyFont="1" applyFill="1" applyBorder="1" applyAlignment="1" applyProtection="1">
      <alignment wrapText="1"/>
    </xf>
    <xf numFmtId="2" fontId="47" fillId="40" borderId="0" xfId="49" applyFont="1" applyFill="1" applyBorder="1" applyAlignment="1" applyProtection="1">
      <alignment horizontal="right" vertical="center"/>
    </xf>
    <xf numFmtId="2" fontId="48" fillId="40" borderId="0" xfId="49" applyFont="1" applyFill="1" applyBorder="1" applyAlignment="1" applyProtection="1">
      <alignment horizontal="center" vertical="center"/>
    </xf>
    <xf numFmtId="2" fontId="47" fillId="40" borderId="0" xfId="49" applyFont="1" applyFill="1" applyBorder="1" applyAlignment="1" applyProtection="1">
      <alignment vertical="center"/>
    </xf>
    <xf numFmtId="0" fontId="0" fillId="40" borderId="0" xfId="0" applyFill="1" applyBorder="1" applyAlignment="1">
      <alignment wrapText="1"/>
    </xf>
    <xf numFmtId="0" fontId="0" fillId="40" borderId="0" xfId="0" applyFill="1" applyBorder="1"/>
    <xf numFmtId="2" fontId="49" fillId="40" borderId="0" xfId="49" applyFont="1" applyFill="1" applyBorder="1" applyAlignment="1" applyProtection="1">
      <alignment vertical="center"/>
    </xf>
    <xf numFmtId="0" fontId="48" fillId="48" borderId="0" xfId="48" applyNumberFormat="1" applyFont="1" applyFill="1" applyBorder="1" applyAlignment="1" applyProtection="1">
      <alignment horizontal="center" vertical="center"/>
    </xf>
    <xf numFmtId="0" fontId="0" fillId="40" borderId="0" xfId="0" applyFill="1" applyBorder="1" applyAlignment="1" applyProtection="1">
      <alignment horizontal="center" wrapText="1"/>
    </xf>
    <xf numFmtId="2" fontId="23" fillId="40" borderId="0" xfId="49" applyFill="1" applyBorder="1">
      <alignment vertical="center"/>
    </xf>
    <xf numFmtId="2" fontId="23" fillId="40" borderId="0" xfId="49" applyFill="1" applyBorder="1" applyAlignment="1">
      <alignment vertical="center" wrapText="1"/>
    </xf>
    <xf numFmtId="2" fontId="26" fillId="40" borderId="0" xfId="0" applyNumberFormat="1" applyFont="1" applyFill="1" applyBorder="1" applyProtection="1"/>
    <xf numFmtId="0" fontId="28" fillId="40" borderId="0" xfId="0" applyFont="1" applyFill="1" applyBorder="1" applyProtection="1"/>
    <xf numFmtId="2" fontId="28" fillId="40" borderId="0" xfId="0" applyNumberFormat="1" applyFont="1" applyFill="1" applyBorder="1" applyProtection="1"/>
    <xf numFmtId="0" fontId="0" fillId="40" borderId="0" xfId="0" applyFont="1" applyFill="1" applyBorder="1" applyAlignment="1" applyProtection="1">
      <alignment vertical="center"/>
    </xf>
    <xf numFmtId="2" fontId="23" fillId="34" borderId="0" xfId="49" applyFill="1" applyBorder="1" applyProtection="1">
      <alignment vertical="center"/>
    </xf>
    <xf numFmtId="2" fontId="23" fillId="34" borderId="10" xfId="49" applyFill="1" applyAlignment="1" applyProtection="1">
      <alignment vertical="center"/>
    </xf>
    <xf numFmtId="2" fontId="23" fillId="34" borderId="10" xfId="49" applyFill="1" applyAlignment="1" applyProtection="1">
      <alignment vertical="center" wrapText="1"/>
    </xf>
    <xf numFmtId="2" fontId="23" fillId="34" borderId="0" xfId="49" applyFill="1" applyBorder="1" applyAlignment="1" applyProtection="1">
      <alignment vertical="center" wrapText="1"/>
    </xf>
    <xf numFmtId="0" fontId="0" fillId="34" borderId="0" xfId="0" applyFont="1" applyFill="1" applyProtection="1"/>
    <xf numFmtId="0" fontId="42" fillId="34" borderId="0" xfId="56" applyFont="1" applyFill="1" applyProtection="1"/>
    <xf numFmtId="0" fontId="42" fillId="34" borderId="0" xfId="56" applyFont="1" applyFill="1" applyAlignment="1" applyProtection="1">
      <alignment horizontal="center" vertical="center"/>
    </xf>
    <xf numFmtId="2" fontId="23" fillId="34" borderId="0" xfId="49" applyFill="1" applyBorder="1" applyAlignment="1" applyProtection="1">
      <alignment vertical="center"/>
    </xf>
    <xf numFmtId="0" fontId="0" fillId="34" borderId="0" xfId="0" applyFill="1" applyBorder="1" applyProtection="1"/>
    <xf numFmtId="0" fontId="24" fillId="51" borderId="54" xfId="0" applyFont="1" applyFill="1" applyBorder="1" applyAlignment="1">
      <alignment horizontal="left" vertical="top" wrapText="1"/>
    </xf>
    <xf numFmtId="0" fontId="24" fillId="51" borderId="55" xfId="0" applyFont="1" applyFill="1" applyBorder="1" applyAlignment="1">
      <alignment horizontal="left" wrapText="1"/>
    </xf>
    <xf numFmtId="0" fontId="24" fillId="51" borderId="38" xfId="0" applyFont="1" applyFill="1" applyBorder="1" applyAlignment="1">
      <alignment horizontal="left"/>
    </xf>
    <xf numFmtId="0" fontId="24" fillId="42" borderId="133" xfId="0" applyFont="1" applyFill="1" applyBorder="1" applyAlignment="1">
      <alignment horizontal="left"/>
    </xf>
    <xf numFmtId="0" fontId="24" fillId="42" borderId="182" xfId="0" applyFont="1" applyFill="1" applyBorder="1" applyAlignment="1">
      <alignment horizontal="left"/>
    </xf>
    <xf numFmtId="49" fontId="0" fillId="0" borderId="37" xfId="0" applyNumberFormat="1" applyFont="1" applyFill="1" applyBorder="1" applyAlignment="1" applyProtection="1">
      <alignment horizontal="left"/>
      <protection locked="0"/>
    </xf>
    <xf numFmtId="49" fontId="0" fillId="0" borderId="39" xfId="0" applyNumberFormat="1" applyFont="1" applyFill="1" applyBorder="1" applyAlignment="1" applyProtection="1">
      <alignment horizontal="left"/>
      <protection locked="0"/>
    </xf>
    <xf numFmtId="1" fontId="0" fillId="0" borderId="39" xfId="0" applyNumberFormat="1" applyFont="1" applyFill="1" applyBorder="1" applyAlignment="1" applyProtection="1">
      <alignment horizontal="left"/>
      <protection locked="0"/>
    </xf>
    <xf numFmtId="0" fontId="24" fillId="52" borderId="38" xfId="0" applyFont="1" applyFill="1" applyBorder="1" applyAlignment="1">
      <alignment horizontal="left"/>
    </xf>
    <xf numFmtId="0" fontId="24" fillId="52" borderId="38" xfId="0" applyFont="1" applyFill="1" applyBorder="1" applyAlignment="1">
      <alignment horizontal="left" wrapText="1"/>
    </xf>
    <xf numFmtId="0" fontId="0" fillId="40" borderId="0" xfId="0" applyFill="1" applyBorder="1" applyAlignment="1" applyProtection="1">
      <alignment horizontal="left" wrapText="1"/>
    </xf>
    <xf numFmtId="2" fontId="23" fillId="40" borderId="0" xfId="49" applyFill="1" applyBorder="1" applyAlignment="1" applyProtection="1">
      <alignment horizontal="left" vertical="center" wrapText="1"/>
    </xf>
    <xf numFmtId="0" fontId="0" fillId="34" borderId="0" xfId="0" applyAlignment="1" applyProtection="1">
      <alignment horizontal="left" wrapText="1"/>
    </xf>
    <xf numFmtId="22" fontId="0" fillId="43" borderId="37" xfId="0" applyNumberFormat="1" applyFont="1" applyFill="1" applyBorder="1" applyAlignment="1" applyProtection="1">
      <alignment horizontal="left"/>
      <protection locked="0"/>
    </xf>
    <xf numFmtId="0" fontId="0" fillId="0" borderId="34" xfId="0" applyFont="1" applyFill="1" applyBorder="1" applyAlignment="1" applyProtection="1">
      <alignment horizontal="left"/>
      <protection locked="0"/>
    </xf>
    <xf numFmtId="0" fontId="0" fillId="34" borderId="0" xfId="0" applyAlignment="1" applyProtection="1">
      <alignment horizontal="left"/>
    </xf>
    <xf numFmtId="0" fontId="0" fillId="33" borderId="39" xfId="0" applyFont="1" applyFill="1" applyBorder="1" applyAlignment="1" applyProtection="1">
      <alignment horizontal="left"/>
      <protection locked="0"/>
    </xf>
    <xf numFmtId="2" fontId="47" fillId="34" borderId="0" xfId="49" applyFont="1" applyFill="1" applyBorder="1" applyAlignment="1" applyProtection="1">
      <alignment horizontal="right" vertical="center"/>
    </xf>
    <xf numFmtId="2" fontId="48" fillId="34" borderId="0" xfId="49" applyFont="1" applyFill="1" applyBorder="1" applyAlignment="1" applyProtection="1">
      <alignment horizontal="center" vertical="center"/>
    </xf>
    <xf numFmtId="2" fontId="47" fillId="34" borderId="10" xfId="49" applyFont="1" applyFill="1" applyAlignment="1" applyProtection="1">
      <alignment vertical="center"/>
    </xf>
    <xf numFmtId="2" fontId="23" fillId="34" borderId="0" xfId="49" applyFill="1" applyBorder="1">
      <alignment vertical="center"/>
    </xf>
    <xf numFmtId="2" fontId="23" fillId="34" borderId="0" xfId="49" applyFill="1" applyBorder="1" applyAlignment="1">
      <alignment vertical="center" wrapText="1"/>
    </xf>
    <xf numFmtId="0" fontId="35" fillId="34" borderId="22" xfId="0" applyNumberFormat="1" applyFont="1" applyBorder="1" applyAlignment="1">
      <alignment vertical="top" wrapText="1"/>
    </xf>
    <xf numFmtId="0" fontId="24" fillId="42" borderId="184" xfId="0" applyFont="1" applyFill="1" applyBorder="1" applyAlignment="1">
      <alignment wrapText="1"/>
    </xf>
    <xf numFmtId="0" fontId="24" fillId="42" borderId="185" xfId="0" applyFont="1" applyFill="1" applyBorder="1" applyAlignment="1">
      <alignment horizontal="left"/>
    </xf>
    <xf numFmtId="0" fontId="24" fillId="42" borderId="186" xfId="0" applyFont="1" applyFill="1" applyBorder="1" applyAlignment="1">
      <alignment horizontal="left"/>
    </xf>
    <xf numFmtId="0" fontId="24" fillId="42" borderId="187" xfId="0" applyFont="1" applyFill="1" applyBorder="1" applyAlignment="1">
      <alignment horizontal="left"/>
    </xf>
    <xf numFmtId="0" fontId="24" fillId="42" borderId="183" xfId="0" applyFont="1" applyFill="1" applyBorder="1" applyAlignment="1">
      <alignment horizontal="left"/>
    </xf>
    <xf numFmtId="0" fontId="24" fillId="42" borderId="190" xfId="0" applyFont="1" applyFill="1" applyBorder="1" applyAlignment="1">
      <alignment horizontal="left"/>
    </xf>
    <xf numFmtId="0" fontId="24" fillId="42" borderId="192" xfId="0" applyFont="1" applyFill="1" applyBorder="1" applyAlignment="1">
      <alignment horizontal="left"/>
    </xf>
    <xf numFmtId="0" fontId="37" fillId="42" borderId="130" xfId="0" applyFont="1" applyFill="1" applyBorder="1" applyAlignment="1">
      <alignment horizontal="center" vertical="center" wrapText="1"/>
    </xf>
    <xf numFmtId="0" fontId="37" fillId="42" borderId="193" xfId="0" applyFont="1" applyFill="1" applyBorder="1" applyAlignment="1">
      <alignment horizontal="center" vertical="center" wrapText="1"/>
    </xf>
    <xf numFmtId="168" fontId="0" fillId="0" borderId="18" xfId="0" applyNumberFormat="1" applyFont="1" applyFill="1" applyBorder="1" applyAlignment="1" applyProtection="1">
      <alignment horizontal="left"/>
      <protection locked="0"/>
    </xf>
    <xf numFmtId="2" fontId="34" fillId="0" borderId="17" xfId="0" applyNumberFormat="1" applyFont="1" applyFill="1" applyBorder="1" applyAlignment="1" applyProtection="1">
      <alignment horizontal="center"/>
      <protection locked="0"/>
    </xf>
    <xf numFmtId="168" fontId="0" fillId="0" borderId="61" xfId="0" applyNumberFormat="1" applyFont="1" applyFill="1" applyBorder="1" applyAlignment="1" applyProtection="1">
      <alignment horizontal="left"/>
      <protection locked="0"/>
    </xf>
    <xf numFmtId="0" fontId="0" fillId="43" borderId="116" xfId="0" applyFont="1" applyFill="1" applyBorder="1" applyAlignment="1" applyProtection="1">
      <alignment horizontal="left" wrapText="1"/>
      <protection locked="0"/>
    </xf>
    <xf numFmtId="2" fontId="0" fillId="0" borderId="32" xfId="0" applyNumberFormat="1" applyFont="1" applyFill="1" applyBorder="1" applyAlignment="1" applyProtection="1">
      <alignment horizontal="center"/>
      <protection locked="0"/>
    </xf>
    <xf numFmtId="2" fontId="0" fillId="0" borderId="47" xfId="0" applyNumberFormat="1" applyFont="1" applyFill="1" applyBorder="1" applyAlignment="1" applyProtection="1">
      <alignment horizontal="center"/>
      <protection locked="0"/>
    </xf>
    <xf numFmtId="0" fontId="37" fillId="42" borderId="193" xfId="0" applyFont="1" applyFill="1" applyBorder="1" applyAlignment="1">
      <alignment vertical="center" wrapText="1"/>
    </xf>
    <xf numFmtId="2" fontId="34" fillId="0" borderId="195" xfId="0" applyNumberFormat="1" applyFont="1" applyFill="1" applyBorder="1" applyAlignment="1" applyProtection="1">
      <alignment horizontal="center"/>
      <protection locked="0"/>
    </xf>
    <xf numFmtId="2" fontId="34" fillId="0" borderId="12" xfId="0" applyNumberFormat="1" applyFont="1" applyFill="1" applyBorder="1" applyAlignment="1" applyProtection="1">
      <alignment horizontal="center"/>
      <protection locked="0"/>
    </xf>
    <xf numFmtId="168" fontId="0" fillId="0" borderId="58" xfId="0" applyNumberFormat="1" applyFont="1" applyFill="1" applyBorder="1" applyAlignment="1" applyProtection="1">
      <alignment horizontal="left"/>
      <protection locked="0"/>
    </xf>
    <xf numFmtId="168" fontId="0" fillId="0" borderId="116" xfId="0" applyNumberFormat="1" applyFont="1" applyFill="1" applyBorder="1" applyAlignment="1" applyProtection="1">
      <alignment horizontal="left"/>
      <protection locked="0"/>
    </xf>
    <xf numFmtId="0" fontId="37" fillId="42" borderId="196" xfId="0" applyFont="1" applyFill="1" applyBorder="1" applyAlignment="1">
      <alignment horizontal="center" vertical="center" wrapText="1"/>
    </xf>
    <xf numFmtId="0" fontId="24" fillId="42" borderId="197" xfId="0" applyNumberFormat="1" applyFont="1" applyFill="1" applyBorder="1" applyAlignment="1">
      <alignment horizontal="center"/>
    </xf>
    <xf numFmtId="0" fontId="24" fillId="42" borderId="198" xfId="0" applyNumberFormat="1" applyFont="1" applyFill="1" applyBorder="1" applyAlignment="1">
      <alignment horizontal="center"/>
    </xf>
    <xf numFmtId="0" fontId="24" fillId="51" borderId="54" xfId="0" applyFont="1" applyFill="1" applyBorder="1" applyAlignment="1"/>
    <xf numFmtId="0" fontId="24" fillId="51" borderId="110" xfId="0" applyFont="1" applyFill="1" applyBorder="1" applyAlignment="1"/>
    <xf numFmtId="0" fontId="0" fillId="42" borderId="67" xfId="0" applyNumberFormat="1" applyFont="1" applyFill="1" applyBorder="1" applyAlignment="1" applyProtection="1">
      <alignment horizontal="left" wrapText="1"/>
      <protection locked="0"/>
    </xf>
    <xf numFmtId="0" fontId="0" fillId="42" borderId="70" xfId="0" applyNumberFormat="1" applyFont="1" applyFill="1" applyBorder="1" applyAlignment="1" applyProtection="1">
      <alignment horizontal="left" wrapText="1"/>
      <protection locked="0"/>
    </xf>
    <xf numFmtId="49" fontId="0" fillId="42" borderId="67" xfId="0" applyNumberFormat="1" applyFont="1" applyFill="1" applyBorder="1" applyAlignment="1" applyProtection="1">
      <alignment horizontal="left"/>
      <protection locked="0"/>
    </xf>
    <xf numFmtId="49" fontId="0" fillId="42" borderId="70" xfId="0" applyNumberFormat="1" applyFont="1" applyFill="1" applyBorder="1" applyAlignment="1" applyProtection="1">
      <alignment horizontal="left"/>
      <protection locked="0"/>
    </xf>
    <xf numFmtId="49" fontId="0" fillId="42" borderId="67" xfId="0" applyNumberFormat="1" applyFont="1" applyFill="1" applyBorder="1" applyAlignment="1" applyProtection="1">
      <alignment horizontal="left" wrapText="1"/>
      <protection locked="0"/>
    </xf>
    <xf numFmtId="0" fontId="0" fillId="42" borderId="68" xfId="0" applyNumberFormat="1" applyFont="1" applyFill="1" applyBorder="1" applyAlignment="1" applyProtection="1">
      <alignment horizontal="left" wrapText="1"/>
      <protection locked="0"/>
    </xf>
    <xf numFmtId="49" fontId="0" fillId="42" borderId="70" xfId="0" applyNumberFormat="1" applyFont="1" applyFill="1" applyBorder="1" applyAlignment="1" applyProtection="1">
      <alignment horizontal="left" wrapText="1"/>
      <protection locked="0"/>
    </xf>
    <xf numFmtId="0" fontId="0" fillId="42" borderId="153"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2" borderId="76" xfId="0" applyNumberFormat="1" applyFont="1" applyFill="1" applyBorder="1" applyAlignment="1" applyProtection="1">
      <alignment horizontal="left" wrapText="1"/>
      <protection locked="0"/>
    </xf>
    <xf numFmtId="0" fontId="0" fillId="42" borderId="77" xfId="0" applyNumberFormat="1" applyFont="1" applyFill="1" applyBorder="1" applyAlignment="1" applyProtection="1">
      <alignment horizontal="left" wrapText="1"/>
      <protection locked="0"/>
    </xf>
    <xf numFmtId="49" fontId="0" fillId="43" borderId="76" xfId="0" applyNumberFormat="1" applyFill="1" applyBorder="1" applyAlignment="1" applyProtection="1">
      <alignment horizontal="left"/>
      <protection locked="0"/>
    </xf>
    <xf numFmtId="0" fontId="0" fillId="43" borderId="76" xfId="0" applyFill="1" applyBorder="1" applyAlignment="1" applyProtection="1">
      <alignment horizontal="left"/>
      <protection locked="0"/>
    </xf>
    <xf numFmtId="0" fontId="0" fillId="43" borderId="67" xfId="0" applyFill="1" applyBorder="1" applyAlignment="1" applyProtection="1">
      <alignment horizontal="left"/>
      <protection locked="0"/>
    </xf>
    <xf numFmtId="0" fontId="0" fillId="43" borderId="76" xfId="0" applyNumberFormat="1" applyFont="1" applyFill="1" applyBorder="1" applyAlignment="1" applyProtection="1">
      <alignment horizontal="left" wrapText="1"/>
      <protection locked="0"/>
    </xf>
    <xf numFmtId="0" fontId="0" fillId="34" borderId="0" xfId="0" applyBorder="1" applyAlignment="1">
      <alignment horizontal="left"/>
    </xf>
    <xf numFmtId="0" fontId="24" fillId="46" borderId="93" xfId="0" applyNumberFormat="1" applyFont="1" applyFill="1" applyBorder="1" applyAlignment="1" applyProtection="1">
      <alignment horizontal="left"/>
      <protection locked="0"/>
    </xf>
    <xf numFmtId="0" fontId="0" fillId="34" borderId="0" xfId="0" applyBorder="1" applyAlignment="1" applyProtection="1">
      <alignment horizontal="left"/>
    </xf>
    <xf numFmtId="49" fontId="0" fillId="43" borderId="77" xfId="0" applyNumberFormat="1" applyFill="1" applyBorder="1" applyAlignment="1" applyProtection="1">
      <alignment horizontal="left"/>
      <protection locked="0"/>
    </xf>
    <xf numFmtId="0" fontId="0" fillId="43" borderId="77" xfId="0" applyFill="1" applyBorder="1" applyAlignment="1" applyProtection="1">
      <alignment horizontal="left"/>
      <protection locked="0"/>
    </xf>
    <xf numFmtId="0" fontId="0" fillId="43" borderId="70" xfId="0" applyFill="1" applyBorder="1" applyAlignment="1" applyProtection="1">
      <alignment horizontal="left"/>
      <protection locked="0"/>
    </xf>
    <xf numFmtId="0" fontId="24" fillId="46" borderId="94" xfId="0" applyNumberFormat="1" applyFont="1" applyFill="1" applyBorder="1" applyAlignment="1" applyProtection="1">
      <alignment horizontal="left"/>
      <protection locked="0"/>
    </xf>
    <xf numFmtId="0" fontId="0" fillId="43" borderId="181" xfId="0" applyNumberFormat="1" applyFont="1" applyFill="1" applyBorder="1" applyAlignment="1" applyProtection="1">
      <alignment horizontal="left"/>
      <protection locked="0"/>
    </xf>
    <xf numFmtId="0" fontId="0" fillId="39" borderId="67" xfId="0" applyNumberFormat="1" applyFont="1" applyFill="1" applyBorder="1" applyAlignment="1" applyProtection="1">
      <alignment horizontal="center" wrapText="1"/>
      <protection locked="0"/>
    </xf>
    <xf numFmtId="0" fontId="0" fillId="39" borderId="70" xfId="0" applyNumberFormat="1" applyFont="1" applyFill="1" applyBorder="1" applyAlignment="1" applyProtection="1">
      <alignment horizontal="center" wrapText="1"/>
      <protection locked="0"/>
    </xf>
    <xf numFmtId="0" fontId="0" fillId="39" borderId="149" xfId="0" applyFont="1" applyFill="1" applyBorder="1" applyAlignment="1">
      <alignment horizontal="center" wrapText="1"/>
    </xf>
    <xf numFmtId="0" fontId="0" fillId="39" borderId="150" xfId="0" applyFill="1" applyBorder="1" applyAlignment="1">
      <alignment horizontal="center" wrapText="1"/>
    </xf>
    <xf numFmtId="0" fontId="0" fillId="39" borderId="151" xfId="0" applyFill="1" applyBorder="1" applyAlignment="1">
      <alignment horizontal="center" wrapText="1"/>
    </xf>
    <xf numFmtId="0" fontId="0" fillId="43" borderId="199" xfId="0" applyFill="1" applyBorder="1" applyAlignment="1" applyProtection="1">
      <alignment horizontal="center"/>
      <protection locked="0"/>
    </xf>
    <xf numFmtId="0" fontId="24" fillId="42" borderId="204" xfId="0" applyFont="1" applyFill="1" applyBorder="1" applyAlignment="1">
      <alignment horizontal="left"/>
    </xf>
    <xf numFmtId="0" fontId="24" fillId="42" borderId="205" xfId="0" applyFont="1" applyFill="1" applyBorder="1" applyAlignment="1">
      <alignment horizontal="left"/>
    </xf>
    <xf numFmtId="0" fontId="24" fillId="42" borderId="189" xfId="0" applyFont="1" applyFill="1" applyBorder="1" applyAlignment="1">
      <alignment vertical="center"/>
    </xf>
    <xf numFmtId="0" fontId="24" fillId="51" borderId="58" xfId="0" applyFont="1" applyFill="1" applyBorder="1" applyAlignment="1">
      <alignment horizontal="left"/>
    </xf>
    <xf numFmtId="0" fontId="24" fillId="51" borderId="40" xfId="0" applyFont="1" applyFill="1" applyBorder="1" applyAlignment="1">
      <alignment horizontal="left"/>
    </xf>
    <xf numFmtId="0" fontId="24" fillId="51" borderId="79" xfId="0" applyFont="1" applyFill="1" applyBorder="1" applyAlignment="1">
      <alignment horizontal="left"/>
    </xf>
    <xf numFmtId="0" fontId="24" fillId="51" borderId="90" xfId="0" applyFont="1" applyFill="1" applyBorder="1" applyAlignment="1">
      <alignment horizontal="left"/>
    </xf>
    <xf numFmtId="0" fontId="24" fillId="51" borderId="88" xfId="0" applyFont="1" applyFill="1" applyBorder="1" applyAlignment="1">
      <alignment horizontal="left"/>
    </xf>
    <xf numFmtId="0" fontId="24" fillId="51" borderId="116" xfId="0" applyFont="1" applyFill="1" applyBorder="1" applyAlignment="1">
      <alignment horizontal="left"/>
    </xf>
    <xf numFmtId="0" fontId="24" fillId="51" borderId="89" xfId="0" applyFont="1" applyFill="1" applyBorder="1" applyAlignment="1">
      <alignment horizontal="left"/>
    </xf>
    <xf numFmtId="49" fontId="0" fillId="43" borderId="121" xfId="0" applyNumberFormat="1" applyFont="1" applyFill="1" applyBorder="1" applyAlignment="1" applyProtection="1">
      <protection locked="0"/>
    </xf>
    <xf numFmtId="49" fontId="0" fillId="43" borderId="121" xfId="0" applyNumberFormat="1" applyFont="1" applyFill="1" applyBorder="1" applyAlignment="1" applyProtection="1">
      <alignment horizontal="left"/>
      <protection locked="0"/>
    </xf>
    <xf numFmtId="0" fontId="24" fillId="42" borderId="67" xfId="0" applyFont="1" applyFill="1" applyBorder="1" applyAlignment="1" applyProtection="1">
      <alignment horizontal="left" wrapText="1"/>
      <protection locked="0"/>
    </xf>
    <xf numFmtId="0" fontId="24" fillId="42" borderId="70" xfId="0" applyFont="1" applyFill="1" applyBorder="1" applyAlignment="1" applyProtection="1">
      <alignment horizontal="left" wrapText="1"/>
      <protection locked="0"/>
    </xf>
    <xf numFmtId="0" fontId="24" fillId="51" borderId="78" xfId="0" applyNumberFormat="1" applyFont="1" applyFill="1" applyBorder="1" applyAlignment="1">
      <alignment vertical="center"/>
    </xf>
    <xf numFmtId="0" fontId="28" fillId="34" borderId="117" xfId="0" applyFont="1" applyBorder="1" applyAlignment="1" applyProtection="1"/>
    <xf numFmtId="0" fontId="0" fillId="34" borderId="0" xfId="0" applyProtection="1"/>
    <xf numFmtId="0" fontId="24" fillId="42" borderId="217" xfId="0" applyFont="1" applyFill="1" applyBorder="1" applyAlignment="1">
      <alignment horizontal="left" vertical="center"/>
    </xf>
    <xf numFmtId="0" fontId="0" fillId="39" borderId="149" xfId="0" applyFill="1" applyBorder="1" applyAlignment="1">
      <alignment horizontal="center" wrapText="1"/>
    </xf>
    <xf numFmtId="0" fontId="0" fillId="39" borderId="152" xfId="0" applyFill="1" applyBorder="1" applyAlignment="1">
      <alignment horizontal="center" wrapText="1"/>
    </xf>
    <xf numFmtId="0" fontId="0" fillId="42" borderId="76" xfId="0" applyNumberFormat="1" applyFont="1" applyFill="1" applyBorder="1" applyAlignment="1" applyProtection="1">
      <alignment wrapText="1"/>
      <protection locked="0"/>
    </xf>
    <xf numFmtId="0" fontId="0" fillId="42" borderId="67" xfId="0" applyNumberFormat="1" applyFont="1" applyFill="1" applyBorder="1" applyAlignment="1" applyProtection="1">
      <alignment horizontal="center" wrapText="1"/>
      <protection locked="0"/>
    </xf>
    <xf numFmtId="0" fontId="0" fillId="42" borderId="77" xfId="0" applyNumberFormat="1" applyFont="1" applyFill="1" applyBorder="1" applyAlignment="1" applyProtection="1">
      <alignment wrapText="1"/>
      <protection locked="0"/>
    </xf>
    <xf numFmtId="0" fontId="0" fillId="42" borderId="70" xfId="0" applyNumberFormat="1" applyFont="1" applyFill="1" applyBorder="1" applyAlignment="1" applyProtection="1">
      <alignment horizontal="center" wrapText="1"/>
      <protection locked="0"/>
    </xf>
    <xf numFmtId="0" fontId="0" fillId="42" borderId="67" xfId="0" applyFont="1" applyFill="1" applyBorder="1" applyAlignment="1" applyProtection="1">
      <alignment horizontal="left" wrapText="1"/>
      <protection locked="0"/>
    </xf>
    <xf numFmtId="0" fontId="0" fillId="42" borderId="70" xfId="0" applyFont="1" applyFill="1" applyBorder="1" applyAlignment="1" applyProtection="1">
      <alignment horizontal="left" wrapText="1"/>
      <protection locked="0"/>
    </xf>
    <xf numFmtId="0" fontId="24" fillId="42" borderId="38" xfId="0" applyNumberFormat="1" applyFont="1" applyFill="1" applyBorder="1" applyAlignment="1">
      <alignment horizontal="center" vertical="top"/>
    </xf>
    <xf numFmtId="0" fontId="24" fillId="42" borderId="40" xfId="0" applyNumberFormat="1" applyFont="1" applyFill="1" applyBorder="1" applyAlignment="1">
      <alignment horizontal="center" vertical="top"/>
    </xf>
    <xf numFmtId="0" fontId="24" fillId="42" borderId="38" xfId="0" applyNumberFormat="1" applyFont="1" applyFill="1" applyBorder="1" applyAlignment="1">
      <alignment horizontal="center" wrapText="1"/>
    </xf>
    <xf numFmtId="0" fontId="24" fillId="42" borderId="40" xfId="0" applyNumberFormat="1" applyFont="1" applyFill="1" applyBorder="1" applyAlignment="1">
      <alignment horizontal="center" wrapText="1"/>
    </xf>
    <xf numFmtId="14" fontId="0" fillId="43" borderId="47" xfId="0" applyNumberFormat="1" applyFont="1" applyFill="1" applyBorder="1" applyAlignment="1" applyProtection="1">
      <alignment horizontal="left" vertical="top"/>
      <protection locked="0"/>
    </xf>
    <xf numFmtId="0" fontId="0" fillId="34" borderId="0" xfId="0" applyProtection="1"/>
    <xf numFmtId="1" fontId="0" fillId="33" borderId="118" xfId="0" applyNumberFormat="1" applyFont="1" applyFill="1" applyBorder="1" applyAlignment="1" applyProtection="1">
      <alignment horizontal="left"/>
      <protection locked="0"/>
    </xf>
    <xf numFmtId="0" fontId="37" fillId="42" borderId="169" xfId="0" applyFont="1" applyFill="1" applyBorder="1" applyAlignment="1">
      <alignment horizontal="center" vertical="center" wrapText="1"/>
    </xf>
    <xf numFmtId="0" fontId="37" fillId="42" borderId="227" xfId="0" applyFont="1" applyFill="1" applyBorder="1" applyAlignment="1">
      <alignment horizontal="center" vertical="center" wrapText="1"/>
    </xf>
    <xf numFmtId="0" fontId="37" fillId="42" borderId="226" xfId="0" applyFont="1" applyFill="1" applyBorder="1" applyAlignment="1">
      <alignment horizontal="center" vertical="center" wrapText="1"/>
    </xf>
    <xf numFmtId="0" fontId="35" fillId="34" borderId="0" xfId="52" applyNumberFormat="1" applyAlignment="1">
      <alignment wrapText="1"/>
    </xf>
    <xf numFmtId="0" fontId="35" fillId="34" borderId="0" xfId="52" applyNumberFormat="1" applyAlignment="1">
      <alignment vertical="top" wrapText="1"/>
    </xf>
    <xf numFmtId="0" fontId="0" fillId="33" borderId="107" xfId="48" applyFont="1" applyBorder="1" applyProtection="1">
      <protection locked="0"/>
    </xf>
    <xf numFmtId="0" fontId="21" fillId="33" borderId="107" xfId="48" applyBorder="1" applyProtection="1">
      <protection locked="0"/>
    </xf>
    <xf numFmtId="0" fontId="0" fillId="0" borderId="34" xfId="0" applyNumberFormat="1" applyFont="1" applyFill="1" applyBorder="1" applyAlignment="1" applyProtection="1">
      <alignment horizontal="left"/>
      <protection locked="0"/>
    </xf>
    <xf numFmtId="0" fontId="0" fillId="34" borderId="0" xfId="0" applyAlignment="1">
      <alignment horizontal="center"/>
    </xf>
    <xf numFmtId="0" fontId="24" fillId="42" borderId="0" xfId="0" applyFont="1" applyFill="1" applyBorder="1" applyAlignment="1">
      <alignment horizontal="left"/>
    </xf>
    <xf numFmtId="49" fontId="0" fillId="43" borderId="76" xfId="0" applyNumberFormat="1" applyFont="1" applyFill="1" applyBorder="1" applyAlignment="1" applyProtection="1">
      <alignment horizontal="left"/>
      <protection locked="0"/>
    </xf>
    <xf numFmtId="49" fontId="0" fillId="43" borderId="77" xfId="0" applyNumberFormat="1" applyFont="1" applyFill="1" applyBorder="1" applyAlignment="1" applyProtection="1">
      <alignment horizontal="left"/>
      <protection locked="0"/>
    </xf>
    <xf numFmtId="49" fontId="0" fillId="33" borderId="76" xfId="0" applyNumberFormat="1" applyFont="1" applyFill="1" applyBorder="1" applyAlignment="1" applyProtection="1">
      <alignment horizontal="left"/>
      <protection locked="0"/>
    </xf>
    <xf numFmtId="49" fontId="0" fillId="33" borderId="77" xfId="0" applyNumberFormat="1" applyFont="1" applyFill="1" applyBorder="1" applyAlignment="1" applyProtection="1">
      <alignment horizontal="left"/>
      <protection locked="0"/>
    </xf>
    <xf numFmtId="0" fontId="0" fillId="43" borderId="130" xfId="48" applyNumberFormat="1" applyFont="1" applyFill="1" applyBorder="1" applyAlignment="1" applyProtection="1">
      <alignment horizontal="center" vertical="center"/>
    </xf>
    <xf numFmtId="0" fontId="0" fillId="33" borderId="0" xfId="0" applyFill="1" applyBorder="1" applyAlignment="1" applyProtection="1">
      <alignment vertical="top" wrapText="1"/>
    </xf>
    <xf numFmtId="0" fontId="0" fillId="34" borderId="0" xfId="0" applyBorder="1" applyAlignment="1">
      <alignment horizontal="center"/>
    </xf>
    <xf numFmtId="0" fontId="24" fillId="34" borderId="0" xfId="0" applyFont="1" applyBorder="1" applyAlignment="1">
      <alignment horizontal="center"/>
    </xf>
    <xf numFmtId="0" fontId="0" fillId="39" borderId="0" xfId="0" applyFill="1" applyProtection="1"/>
    <xf numFmtId="0" fontId="0" fillId="33" borderId="0" xfId="0" applyFill="1" applyAlignment="1" applyProtection="1">
      <alignment horizontal="right" vertical="top" wrapText="1"/>
    </xf>
    <xf numFmtId="168" fontId="0" fillId="0" borderId="79" xfId="0" applyNumberFormat="1" applyFont="1" applyFill="1" applyBorder="1" applyAlignment="1" applyProtection="1">
      <alignment horizontal="left"/>
      <protection locked="0"/>
    </xf>
    <xf numFmtId="0" fontId="0" fillId="43" borderId="79" xfId="0" applyNumberFormat="1" applyFont="1" applyFill="1" applyBorder="1" applyAlignment="1" applyProtection="1">
      <alignment horizontal="left"/>
      <protection locked="0"/>
    </xf>
    <xf numFmtId="2" fontId="34" fillId="0" borderId="194" xfId="0" applyNumberFormat="1" applyFont="1" applyFill="1" applyBorder="1" applyAlignment="1" applyProtection="1">
      <alignment horizontal="center"/>
      <protection locked="0"/>
    </xf>
    <xf numFmtId="169" fontId="0" fillId="43" borderId="37" xfId="0" applyNumberFormat="1" applyFont="1" applyFill="1" applyBorder="1" applyAlignment="1" applyProtection="1">
      <alignment horizontal="left"/>
      <protection locked="0"/>
    </xf>
    <xf numFmtId="170" fontId="0" fillId="43" borderId="39" xfId="0" applyNumberFormat="1" applyFont="1" applyFill="1" applyBorder="1" applyAlignment="1" applyProtection="1">
      <alignment horizontal="left" wrapText="1"/>
      <protection locked="0"/>
    </xf>
    <xf numFmtId="169" fontId="0" fillId="43" borderId="14" xfId="0" applyNumberFormat="1" applyFont="1" applyFill="1" applyBorder="1" applyAlignment="1" applyProtection="1">
      <alignment horizontal="left" vertical="top"/>
      <protection locked="0"/>
    </xf>
    <xf numFmtId="169" fontId="0" fillId="43" borderId="107" xfId="0" applyNumberFormat="1" applyFont="1" applyFill="1" applyBorder="1" applyAlignment="1" applyProtection="1">
      <alignment horizontal="left"/>
      <protection locked="0"/>
    </xf>
    <xf numFmtId="169" fontId="0" fillId="43" borderId="108" xfId="0" applyNumberFormat="1" applyFont="1" applyFill="1" applyBorder="1" applyAlignment="1" applyProtection="1">
      <alignment horizontal="left" vertical="top"/>
      <protection locked="0"/>
    </xf>
    <xf numFmtId="169" fontId="0" fillId="43" borderId="109" xfId="0" applyNumberFormat="1" applyFont="1" applyFill="1" applyBorder="1" applyAlignment="1" applyProtection="1">
      <alignment horizontal="left"/>
      <protection locked="0"/>
    </xf>
    <xf numFmtId="169" fontId="0" fillId="43" borderId="225" xfId="0" applyNumberFormat="1" applyFont="1" applyFill="1" applyBorder="1" applyAlignment="1" applyProtection="1">
      <alignment horizontal="left" vertical="top"/>
      <protection locked="0"/>
    </xf>
    <xf numFmtId="169" fontId="0" fillId="43" borderId="125" xfId="0" applyNumberFormat="1" applyFont="1" applyFill="1" applyBorder="1" applyAlignment="1" applyProtection="1">
      <protection locked="0"/>
    </xf>
    <xf numFmtId="169" fontId="0" fillId="43" borderId="107" xfId="0" applyNumberFormat="1" applyFont="1" applyFill="1" applyBorder="1" applyAlignment="1" applyProtection="1">
      <protection locked="0"/>
    </xf>
    <xf numFmtId="169" fontId="0" fillId="43" borderId="109" xfId="0" applyNumberFormat="1" applyFont="1" applyFill="1" applyBorder="1" applyAlignment="1" applyProtection="1">
      <protection locked="0"/>
    </xf>
    <xf numFmtId="0" fontId="45" fillId="49" borderId="0" xfId="0" quotePrefix="1" applyFont="1" applyFill="1" applyAlignment="1">
      <alignment vertical="center"/>
    </xf>
    <xf numFmtId="0" fontId="0" fillId="43" borderId="163" xfId="48" applyNumberFormat="1" applyFont="1" applyFill="1" applyBorder="1" applyAlignment="1" applyProtection="1">
      <alignment horizontal="center" vertical="center"/>
    </xf>
    <xf numFmtId="0" fontId="0" fillId="43" borderId="165" xfId="48" applyNumberFormat="1" applyFont="1" applyFill="1" applyBorder="1" applyAlignment="1" applyProtection="1">
      <alignment horizontal="center" vertical="center"/>
    </xf>
    <xf numFmtId="0" fontId="0" fillId="43" borderId="167" xfId="48" applyNumberFormat="1" applyFont="1" applyFill="1" applyBorder="1" applyAlignment="1" applyProtection="1">
      <alignment horizontal="center" vertical="center"/>
    </xf>
    <xf numFmtId="0" fontId="0" fillId="0" borderId="56" xfId="0" applyFont="1" applyFill="1" applyBorder="1" applyAlignment="1" applyProtection="1">
      <alignment horizontal="left" wrapText="1"/>
      <protection locked="0"/>
    </xf>
    <xf numFmtId="0" fontId="0" fillId="0" borderId="39" xfId="0" applyFont="1" applyFill="1" applyBorder="1" applyAlignment="1" applyProtection="1">
      <alignment horizontal="left" wrapText="1"/>
      <protection locked="0"/>
    </xf>
    <xf numFmtId="0" fontId="0" fillId="43" borderId="236" xfId="48" applyNumberFormat="1" applyFont="1" applyFill="1" applyBorder="1" applyAlignment="1" applyProtection="1">
      <alignment horizontal="center" vertical="center"/>
      <protection locked="0"/>
    </xf>
    <xf numFmtId="0" fontId="0" fillId="43" borderId="237" xfId="48" applyNumberFormat="1" applyFont="1" applyFill="1" applyBorder="1" applyAlignment="1" applyProtection="1">
      <alignment horizontal="center" vertical="center"/>
      <protection locked="0"/>
    </xf>
    <xf numFmtId="0" fontId="0" fillId="43" borderId="238" xfId="48" applyNumberFormat="1" applyFont="1" applyFill="1" applyBorder="1" applyAlignment="1" applyProtection="1">
      <alignment horizontal="center" vertical="center"/>
      <protection locked="0"/>
    </xf>
    <xf numFmtId="0" fontId="0" fillId="39" borderId="32" xfId="0" applyNumberFormat="1" applyFont="1" applyFill="1" applyBorder="1" applyAlignment="1" applyProtection="1">
      <alignment horizontal="center" vertical="top"/>
    </xf>
    <xf numFmtId="0" fontId="0" fillId="39" borderId="47" xfId="0" applyNumberFormat="1" applyFont="1" applyFill="1" applyBorder="1" applyAlignment="1" applyProtection="1">
      <alignment horizontal="center" vertical="top"/>
    </xf>
    <xf numFmtId="0" fontId="50" fillId="34" borderId="95" xfId="0" applyFont="1" applyBorder="1" applyAlignment="1">
      <alignment horizontal="left" vertical="top"/>
    </xf>
    <xf numFmtId="0" fontId="0" fillId="43" borderId="161" xfId="0" applyFont="1" applyFill="1" applyBorder="1" applyAlignment="1" applyProtection="1">
      <alignment horizontal="left"/>
      <protection locked="0"/>
    </xf>
    <xf numFmtId="0" fontId="0" fillId="43" borderId="136" xfId="0" applyFont="1" applyFill="1" applyBorder="1" applyAlignment="1" applyProtection="1">
      <alignment horizontal="left"/>
      <protection locked="0"/>
    </xf>
    <xf numFmtId="0" fontId="34" fillId="54" borderId="23" xfId="60" applyBorder="1"/>
    <xf numFmtId="0" fontId="34" fillId="54" borderId="239" xfId="60" applyBorder="1"/>
    <xf numFmtId="0" fontId="34" fillId="54" borderId="240" xfId="60" applyBorder="1"/>
    <xf numFmtId="0" fontId="34" fillId="54" borderId="120" xfId="60" applyBorder="1"/>
    <xf numFmtId="0" fontId="34" fillId="54" borderId="0" xfId="60" applyProtection="1">
      <protection locked="0"/>
    </xf>
    <xf numFmtId="0" fontId="28" fillId="34" borderId="0" xfId="0" applyFont="1" applyBorder="1" applyAlignment="1">
      <alignment vertical="center"/>
    </xf>
    <xf numFmtId="0" fontId="0" fillId="34" borderId="0" xfId="0" applyBorder="1" applyAlignment="1">
      <alignment vertical="center" wrapText="1"/>
    </xf>
    <xf numFmtId="0" fontId="28" fillId="34" borderId="0" xfId="0" applyFont="1" applyBorder="1" applyAlignment="1">
      <alignment horizontal="left" vertical="top"/>
    </xf>
    <xf numFmtId="0" fontId="0" fillId="34" borderId="0" xfId="0" applyBorder="1" applyAlignment="1">
      <alignment horizontal="center" vertical="center" wrapText="1"/>
    </xf>
    <xf numFmtId="0" fontId="0" fillId="34" borderId="0" xfId="0" applyBorder="1" applyAlignment="1">
      <alignment horizontal="center" vertical="center"/>
    </xf>
    <xf numFmtId="0" fontId="52" fillId="34" borderId="0" xfId="0" applyFont="1"/>
    <xf numFmtId="0" fontId="53" fillId="34" borderId="0" xfId="0" applyFont="1"/>
    <xf numFmtId="0" fontId="0" fillId="33" borderId="22"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6" xfId="0" applyFont="1" applyFill="1" applyBorder="1" applyAlignment="1" applyProtection="1">
      <alignment horizontal="left" vertical="top" wrapText="1"/>
    </xf>
    <xf numFmtId="0" fontId="0" fillId="33" borderId="63" xfId="0" applyFont="1" applyFill="1" applyBorder="1" applyAlignment="1" applyProtection="1">
      <alignment horizontal="left" vertical="top" wrapText="1"/>
    </xf>
    <xf numFmtId="0" fontId="0" fillId="33" borderId="234" xfId="0" applyFont="1" applyFill="1" applyBorder="1" applyAlignment="1" applyProtection="1">
      <alignment horizontal="left" vertical="top" wrapText="1"/>
    </xf>
    <xf numFmtId="0" fontId="0" fillId="33" borderId="23" xfId="0" applyFont="1" applyFill="1" applyBorder="1" applyAlignment="1" applyProtection="1">
      <alignment horizontal="left" vertical="top" wrapText="1"/>
    </xf>
    <xf numFmtId="0" fontId="0" fillId="33" borderId="235" xfId="0" applyFont="1" applyFill="1" applyBorder="1" applyAlignment="1" applyProtection="1">
      <alignment horizontal="left" vertical="top" wrapText="1"/>
    </xf>
    <xf numFmtId="0" fontId="0" fillId="33" borderId="59" xfId="0" applyFont="1" applyFill="1" applyBorder="1" applyAlignment="1" applyProtection="1">
      <alignment horizontal="left" vertical="top" wrapText="1"/>
    </xf>
    <xf numFmtId="0" fontId="0" fillId="33" borderId="22"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3" xfId="0" applyFill="1" applyBorder="1" applyAlignment="1" applyProtection="1">
      <alignment horizontal="left" vertical="top" wrapText="1"/>
      <protection locked="0"/>
    </xf>
    <xf numFmtId="0" fontId="0" fillId="33" borderId="36" xfId="0" applyFill="1" applyBorder="1" applyAlignment="1" applyProtection="1">
      <alignment horizontal="left" vertical="top" wrapText="1"/>
      <protection locked="0"/>
    </xf>
    <xf numFmtId="0" fontId="0" fillId="33" borderId="63" xfId="0" applyFill="1" applyBorder="1" applyAlignment="1" applyProtection="1">
      <alignment horizontal="left" vertical="top" wrapText="1"/>
      <protection locked="0"/>
    </xf>
    <xf numFmtId="0" fontId="0" fillId="33" borderId="59" xfId="0" applyFill="1" applyBorder="1" applyAlignment="1" applyProtection="1">
      <alignment horizontal="left" vertical="top" wrapText="1"/>
      <protection locked="0"/>
    </xf>
    <xf numFmtId="0" fontId="24" fillId="42" borderId="22" xfId="48" applyNumberFormat="1" applyFont="1" applyFill="1" applyBorder="1" applyAlignment="1">
      <alignment horizontal="left" vertical="center"/>
    </xf>
    <xf numFmtId="0" fontId="24" fillId="42" borderId="0" xfId="48" applyNumberFormat="1" applyFont="1" applyFill="1" applyBorder="1" applyAlignment="1">
      <alignment horizontal="left" vertical="center"/>
    </xf>
    <xf numFmtId="0" fontId="24" fillId="42" borderId="23" xfId="48" applyNumberFormat="1" applyFont="1" applyFill="1" applyBorder="1" applyAlignment="1">
      <alignment horizontal="left" vertical="center"/>
    </xf>
    <xf numFmtId="2" fontId="38" fillId="44" borderId="20" xfId="50" applyBorder="1" applyAlignment="1">
      <alignment horizontal="center" vertical="center"/>
    </xf>
    <xf numFmtId="2" fontId="38" fillId="44" borderId="60" xfId="50" applyBorder="1" applyAlignment="1">
      <alignment horizontal="center" vertical="center"/>
    </xf>
    <xf numFmtId="2" fontId="38" fillId="44" borderId="21" xfId="50" applyBorder="1" applyAlignment="1">
      <alignment horizontal="center" vertical="center"/>
    </xf>
    <xf numFmtId="2" fontId="38" fillId="44" borderId="22" xfId="50" applyBorder="1" applyAlignment="1">
      <alignment horizontal="center" vertical="center"/>
    </xf>
    <xf numFmtId="2" fontId="38" fillId="44" borderId="0" xfId="50" applyBorder="1" applyAlignment="1">
      <alignment horizontal="center" vertical="center"/>
    </xf>
    <xf numFmtId="2" fontId="38" fillId="44" borderId="23" xfId="50" applyBorder="1" applyAlignment="1">
      <alignment horizontal="center" vertical="center"/>
    </xf>
    <xf numFmtId="0" fontId="0" fillId="33" borderId="0" xfId="0" applyFill="1" applyAlignment="1" applyProtection="1">
      <alignment horizontal="left" vertical="top" wrapText="1"/>
    </xf>
    <xf numFmtId="2" fontId="38" fillId="40" borderId="0" xfId="47" applyFont="1" applyAlignment="1">
      <alignment horizontal="left" vertical="center"/>
    </xf>
    <xf numFmtId="2" fontId="38" fillId="41" borderId="19" xfId="50" applyFill="1">
      <alignment horizontal="left" vertical="center" indent="1"/>
    </xf>
    <xf numFmtId="2" fontId="30" fillId="33" borderId="0" xfId="49" applyNumberFormat="1" applyFont="1" applyFill="1" applyBorder="1" applyAlignment="1">
      <alignment horizontal="center"/>
    </xf>
    <xf numFmtId="0" fontId="35" fillId="33" borderId="0" xfId="52" applyNumberFormat="1" applyFill="1" applyBorder="1" applyAlignment="1">
      <alignment horizontal="left" vertical="top" wrapText="1"/>
    </xf>
    <xf numFmtId="0" fontId="0" fillId="34" borderId="0" xfId="0" applyAlignment="1">
      <alignment horizontal="center"/>
    </xf>
    <xf numFmtId="0" fontId="31" fillId="33" borderId="0" xfId="53" applyFill="1" applyAlignment="1" applyProtection="1">
      <alignment horizontal="center"/>
      <protection locked="0"/>
    </xf>
    <xf numFmtId="2" fontId="38" fillId="44" borderId="19" xfId="50" applyBorder="1" applyAlignment="1">
      <alignment horizontal="center" vertical="center"/>
    </xf>
    <xf numFmtId="0" fontId="24" fillId="39" borderId="0" xfId="48" applyNumberFormat="1" applyFont="1" applyFill="1" applyBorder="1" applyAlignment="1">
      <alignment horizontal="left" vertical="center"/>
    </xf>
    <xf numFmtId="0" fontId="24" fillId="39" borderId="23" xfId="48" applyNumberFormat="1" applyFont="1" applyFill="1" applyBorder="1" applyAlignment="1">
      <alignment horizontal="left" vertical="center"/>
    </xf>
    <xf numFmtId="0" fontId="24" fillId="33" borderId="0" xfId="0" applyFont="1" applyFill="1" applyBorder="1" applyAlignment="1" applyProtection="1">
      <alignment horizontal="left"/>
      <protection locked="0"/>
    </xf>
    <xf numFmtId="22" fontId="0" fillId="43" borderId="130" xfId="0" applyNumberFormat="1" applyFont="1" applyFill="1" applyBorder="1" applyAlignment="1" applyProtection="1">
      <alignment horizontal="center" vertical="center"/>
      <protection locked="0"/>
    </xf>
    <xf numFmtId="22" fontId="0" fillId="43" borderId="23" xfId="0" applyNumberFormat="1" applyFont="1" applyFill="1" applyBorder="1" applyAlignment="1" applyProtection="1">
      <alignment horizontal="center" vertical="center"/>
      <protection locked="0"/>
    </xf>
    <xf numFmtId="14" fontId="0" fillId="39" borderId="172" xfId="0" applyNumberFormat="1" applyFont="1" applyFill="1" applyBorder="1" applyAlignment="1" applyProtection="1">
      <alignment horizontal="left"/>
      <protection locked="0"/>
    </xf>
    <xf numFmtId="14" fontId="0" fillId="39" borderId="59" xfId="0" applyNumberFormat="1" applyFont="1" applyFill="1" applyBorder="1" applyAlignment="1" applyProtection="1">
      <alignment horizontal="left"/>
      <protection locked="0"/>
    </xf>
    <xf numFmtId="0" fontId="0" fillId="53" borderId="211" xfId="0" applyFill="1" applyBorder="1" applyAlignment="1" applyProtection="1">
      <alignment horizontal="center" vertical="center" wrapText="1"/>
    </xf>
    <xf numFmtId="0" fontId="0" fillId="53" borderId="232" xfId="0" applyFill="1" applyBorder="1" applyAlignment="1" applyProtection="1">
      <alignment horizontal="center" vertical="center" wrapText="1"/>
    </xf>
    <xf numFmtId="0" fontId="0" fillId="53" borderId="212" xfId="0" applyFill="1" applyBorder="1" applyAlignment="1" applyProtection="1">
      <alignment horizontal="center" vertical="center" wrapText="1"/>
    </xf>
    <xf numFmtId="0" fontId="0" fillId="53" borderId="213" xfId="0" applyFill="1" applyBorder="1" applyAlignment="1" applyProtection="1">
      <alignment horizontal="center" vertical="center" wrapText="1"/>
    </xf>
    <xf numFmtId="0" fontId="0" fillId="53" borderId="0" xfId="0" applyFill="1" applyBorder="1" applyAlignment="1" applyProtection="1">
      <alignment horizontal="center" vertical="center" wrapText="1"/>
    </xf>
    <xf numFmtId="0" fontId="0" fillId="53" borderId="214" xfId="0" applyFill="1" applyBorder="1" applyAlignment="1" applyProtection="1">
      <alignment horizontal="center" vertical="center" wrapText="1"/>
    </xf>
    <xf numFmtId="0" fontId="0" fillId="53" borderId="215" xfId="0" applyFill="1" applyBorder="1" applyAlignment="1" applyProtection="1">
      <alignment horizontal="center" vertical="center" wrapText="1"/>
    </xf>
    <xf numFmtId="0" fontId="0" fillId="53" borderId="233" xfId="0" applyFill="1" applyBorder="1" applyAlignment="1" applyProtection="1">
      <alignment horizontal="center" vertical="center" wrapText="1"/>
    </xf>
    <xf numFmtId="0" fontId="0" fillId="53" borderId="216" xfId="0" applyFill="1" applyBorder="1" applyAlignment="1" applyProtection="1">
      <alignment horizontal="center" vertical="center" wrapText="1"/>
    </xf>
    <xf numFmtId="2" fontId="38" fillId="44" borderId="20" xfId="50" applyBorder="1" applyAlignment="1">
      <alignment horizontal="left" vertical="center" indent="1"/>
    </xf>
    <xf numFmtId="2" fontId="38" fillId="44" borderId="60" xfId="50" applyBorder="1" applyAlignment="1">
      <alignment horizontal="left" vertical="center" indent="1"/>
    </xf>
    <xf numFmtId="2" fontId="38" fillId="44" borderId="21" xfId="50" applyBorder="1" applyAlignment="1">
      <alignment horizontal="left" vertical="center" indent="1"/>
    </xf>
    <xf numFmtId="0" fontId="35" fillId="34" borderId="60"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35" fillId="34" borderId="22" xfId="52" applyNumberFormat="1" applyBorder="1" applyAlignment="1">
      <alignment horizontal="left" vertical="top" wrapText="1"/>
    </xf>
    <xf numFmtId="0" fontId="35" fillId="34" borderId="0" xfId="52" applyNumberFormat="1" applyBorder="1" applyAlignment="1">
      <alignment horizontal="left" vertical="top" wrapText="1"/>
    </xf>
    <xf numFmtId="0" fontId="24" fillId="51" borderId="22" xfId="0" applyFont="1" applyFill="1" applyBorder="1" applyAlignment="1">
      <alignment horizontal="left" vertical="center" wrapText="1"/>
    </xf>
    <xf numFmtId="0" fontId="24" fillId="51" borderId="54" xfId="0" applyFont="1" applyFill="1" applyBorder="1" applyAlignment="1">
      <alignment horizontal="left" vertical="center" wrapText="1"/>
    </xf>
    <xf numFmtId="0" fontId="24" fillId="42" borderId="144" xfId="0" applyFont="1" applyFill="1" applyBorder="1" applyAlignment="1">
      <alignment vertical="top" wrapText="1"/>
    </xf>
    <xf numFmtId="0" fontId="24" fillId="42" borderId="133" xfId="0" applyFont="1" applyFill="1" applyBorder="1" applyAlignment="1">
      <alignment vertical="top" wrapText="1"/>
    </xf>
    <xf numFmtId="2" fontId="38" fillId="44" borderId="19" xfId="50" applyBorder="1">
      <alignment horizontal="left" vertical="center" indent="1"/>
    </xf>
    <xf numFmtId="0" fontId="24" fillId="42" borderId="86" xfId="0" applyFont="1" applyFill="1" applyBorder="1" applyAlignment="1">
      <alignment horizontal="left"/>
    </xf>
    <xf numFmtId="0" fontId="24" fillId="42" borderId="87" xfId="0" applyFont="1" applyFill="1" applyBorder="1" applyAlignment="1">
      <alignment horizontal="left"/>
    </xf>
    <xf numFmtId="0" fontId="24" fillId="42" borderId="40" xfId="0" applyFont="1" applyFill="1" applyBorder="1" applyAlignment="1">
      <alignment horizontal="left"/>
    </xf>
    <xf numFmtId="0" fontId="24" fillId="42" borderId="90" xfId="0" applyFont="1" applyFill="1" applyBorder="1" applyAlignment="1">
      <alignment horizontal="left"/>
    </xf>
    <xf numFmtId="2" fontId="38" fillId="44" borderId="22" xfId="50" applyBorder="1" applyAlignment="1">
      <alignment horizontal="left" vertical="center" indent="1"/>
    </xf>
    <xf numFmtId="2" fontId="38" fillId="44" borderId="23" xfId="50" applyBorder="1" applyAlignment="1">
      <alignment horizontal="left" vertical="center" indent="1"/>
    </xf>
    <xf numFmtId="2" fontId="38" fillId="44" borderId="19" xfId="50">
      <alignment horizontal="left" vertical="center" indent="1"/>
    </xf>
    <xf numFmtId="49" fontId="0" fillId="43" borderId="48" xfId="0" applyNumberFormat="1" applyFont="1" applyFill="1" applyBorder="1" applyAlignment="1" applyProtection="1">
      <alignment horizontal="left" vertical="top" wrapText="1"/>
      <protection locked="0"/>
    </xf>
    <xf numFmtId="49" fontId="0" fillId="43" borderId="49" xfId="0" applyNumberFormat="1" applyFont="1" applyFill="1" applyBorder="1" applyAlignment="1" applyProtection="1">
      <alignment horizontal="left" vertical="top" wrapText="1"/>
      <protection locked="0"/>
    </xf>
    <xf numFmtId="49" fontId="0" fillId="43" borderId="50" xfId="0" applyNumberFormat="1" applyFont="1" applyFill="1" applyBorder="1" applyAlignment="1" applyProtection="1">
      <alignment horizontal="left" vertical="top" wrapText="1"/>
      <protection locked="0"/>
    </xf>
    <xf numFmtId="0" fontId="24" fillId="42" borderId="51" xfId="0" applyFont="1" applyFill="1" applyBorder="1" applyAlignment="1">
      <alignment horizontal="left" vertical="top" wrapText="1"/>
    </xf>
    <xf numFmtId="0" fontId="24" fillId="42" borderId="52" xfId="0" applyFont="1" applyFill="1" applyBorder="1" applyAlignment="1">
      <alignment horizontal="left" vertical="top" wrapText="1"/>
    </xf>
    <xf numFmtId="0" fontId="24" fillId="42" borderId="53" xfId="0" applyFont="1" applyFill="1" applyBorder="1" applyAlignment="1">
      <alignment horizontal="left" vertical="top" wrapText="1"/>
    </xf>
    <xf numFmtId="2" fontId="38" fillId="44" borderId="0" xfId="50" applyBorder="1" applyAlignment="1">
      <alignment horizontal="left" vertical="center" indent="1"/>
    </xf>
    <xf numFmtId="2" fontId="38" fillId="44" borderId="42" xfId="50" applyBorder="1">
      <alignment horizontal="left" vertical="center" indent="1"/>
    </xf>
    <xf numFmtId="0" fontId="0" fillId="43" borderId="84" xfId="0" applyNumberFormat="1" applyFill="1" applyBorder="1" applyAlignment="1" applyProtection="1">
      <alignment horizontal="left" wrapText="1"/>
      <protection locked="0"/>
    </xf>
    <xf numFmtId="0" fontId="0" fillId="43" borderId="101" xfId="0" applyNumberFormat="1" applyFill="1" applyBorder="1" applyAlignment="1" applyProtection="1">
      <alignment horizontal="left" wrapText="1"/>
      <protection locked="0"/>
    </xf>
    <xf numFmtId="0" fontId="0" fillId="43" borderId="84" xfId="0" applyNumberFormat="1" applyFont="1" applyFill="1" applyBorder="1" applyAlignment="1" applyProtection="1">
      <alignment horizontal="left" wrapText="1"/>
      <protection locked="0"/>
    </xf>
    <xf numFmtId="0" fontId="0" fillId="43" borderId="101" xfId="0" applyNumberFormat="1" applyFont="1" applyFill="1" applyBorder="1" applyAlignment="1" applyProtection="1">
      <alignment horizontal="left" wrapText="1"/>
      <protection locked="0"/>
    </xf>
    <xf numFmtId="0" fontId="0" fillId="43" borderId="47" xfId="0" applyNumberFormat="1" applyFont="1" applyFill="1" applyBorder="1" applyAlignment="1" applyProtection="1">
      <alignment horizontal="left" wrapText="1"/>
      <protection locked="0"/>
    </xf>
    <xf numFmtId="0" fontId="0" fillId="43" borderId="102" xfId="0" applyNumberFormat="1" applyFont="1" applyFill="1" applyBorder="1" applyAlignment="1" applyProtection="1">
      <alignment horizontal="left" wrapText="1"/>
      <protection locked="0"/>
    </xf>
    <xf numFmtId="0" fontId="24" fillId="42" borderId="88" xfId="0" applyFont="1" applyFill="1" applyBorder="1" applyAlignment="1">
      <alignment horizontal="left" wrapText="1"/>
    </xf>
    <xf numFmtId="0" fontId="24" fillId="42" borderId="89" xfId="0" applyFont="1" applyFill="1" applyBorder="1" applyAlignment="1">
      <alignment horizontal="left" wrapText="1"/>
    </xf>
    <xf numFmtId="0" fontId="24" fillId="51" borderId="40" xfId="0" applyFont="1" applyFill="1" applyBorder="1" applyAlignment="1">
      <alignment horizontal="left" wrapText="1"/>
    </xf>
    <xf numFmtId="0" fontId="24" fillId="51" borderId="90" xfId="0" applyFont="1" applyFill="1" applyBorder="1" applyAlignment="1">
      <alignment horizontal="left" wrapText="1"/>
    </xf>
    <xf numFmtId="0" fontId="37" fillId="42" borderId="82" xfId="0" applyFont="1" applyFill="1" applyBorder="1" applyAlignment="1">
      <alignment horizontal="center" vertical="center" wrapText="1"/>
    </xf>
    <xf numFmtId="0" fontId="37" fillId="42" borderId="83" xfId="0" applyFont="1" applyFill="1" applyBorder="1" applyAlignment="1">
      <alignment horizontal="center" vertical="center" wrapText="1"/>
    </xf>
    <xf numFmtId="0" fontId="0" fillId="39" borderId="84" xfId="0" applyNumberFormat="1" applyFont="1" applyFill="1" applyBorder="1" applyAlignment="1" applyProtection="1">
      <alignment horizontal="left" wrapText="1"/>
      <protection locked="0"/>
    </xf>
    <xf numFmtId="0" fontId="0" fillId="39" borderId="116" xfId="0" applyNumberFormat="1" applyFont="1" applyFill="1" applyBorder="1" applyAlignment="1" applyProtection="1">
      <alignment horizontal="left" wrapText="1"/>
      <protection locked="0"/>
    </xf>
    <xf numFmtId="168" fontId="0" fillId="0" borderId="91" xfId="0" applyNumberFormat="1" applyFont="1" applyFill="1" applyBorder="1" applyAlignment="1" applyProtection="1">
      <alignment horizontal="left"/>
      <protection locked="0"/>
    </xf>
    <xf numFmtId="168" fontId="0" fillId="0" borderId="101" xfId="0" applyNumberFormat="1" applyFont="1" applyFill="1" applyBorder="1" applyAlignment="1" applyProtection="1">
      <alignment horizontal="left"/>
      <protection locked="0"/>
    </xf>
    <xf numFmtId="0" fontId="0" fillId="39" borderId="47" xfId="0" applyNumberFormat="1" applyFont="1" applyFill="1" applyBorder="1" applyAlignment="1" applyProtection="1">
      <alignment horizontal="left" wrapText="1"/>
      <protection locked="0"/>
    </xf>
    <xf numFmtId="0" fontId="0" fillId="39" borderId="79" xfId="0" applyNumberFormat="1" applyFont="1" applyFill="1" applyBorder="1" applyAlignment="1" applyProtection="1">
      <alignment horizontal="left" wrapText="1"/>
      <protection locked="0"/>
    </xf>
    <xf numFmtId="168" fontId="0" fillId="0" borderId="116" xfId="0" applyNumberFormat="1" applyFont="1" applyFill="1" applyBorder="1" applyAlignment="1" applyProtection="1">
      <alignment horizontal="left"/>
      <protection locked="0"/>
    </xf>
    <xf numFmtId="168" fontId="0" fillId="0" borderId="79" xfId="0" applyNumberFormat="1" applyFont="1" applyFill="1" applyBorder="1" applyAlignment="1" applyProtection="1">
      <alignment horizontal="left"/>
      <protection locked="0"/>
    </xf>
    <xf numFmtId="168" fontId="0" fillId="0" borderId="102" xfId="0" applyNumberFormat="1" applyFont="1" applyFill="1" applyBorder="1" applyAlignment="1" applyProtection="1">
      <alignment horizontal="left"/>
      <protection locked="0"/>
    </xf>
    <xf numFmtId="0" fontId="37" fillId="42" borderId="104" xfId="0" applyFont="1" applyFill="1" applyBorder="1" applyAlignment="1">
      <alignment horizontal="center" vertical="center" wrapText="1"/>
    </xf>
    <xf numFmtId="2" fontId="0" fillId="0" borderId="84" xfId="0" applyNumberFormat="1" applyFont="1" applyFill="1" applyBorder="1" applyAlignment="1" applyProtection="1">
      <alignment horizontal="center"/>
      <protection locked="0"/>
    </xf>
    <xf numFmtId="2" fontId="0" fillId="0" borderId="105" xfId="0" applyNumberFormat="1" applyFont="1" applyFill="1" applyBorder="1" applyAlignment="1" applyProtection="1">
      <alignment horizontal="center"/>
      <protection locked="0"/>
    </xf>
    <xf numFmtId="2" fontId="0" fillId="0" borderId="47" xfId="0" applyNumberFormat="1" applyFont="1" applyFill="1" applyBorder="1" applyAlignment="1" applyProtection="1">
      <alignment horizontal="center"/>
      <protection locked="0"/>
    </xf>
    <xf numFmtId="2" fontId="0" fillId="0" borderId="106" xfId="0" applyNumberFormat="1" applyFont="1" applyFill="1" applyBorder="1" applyAlignment="1" applyProtection="1">
      <alignment horizontal="center"/>
      <protection locked="0"/>
    </xf>
    <xf numFmtId="0" fontId="34" fillId="54" borderId="0" xfId="60"/>
    <xf numFmtId="0" fontId="37" fillId="42" borderId="103" xfId="0" applyFont="1" applyFill="1" applyBorder="1" applyAlignment="1">
      <alignment horizontal="center" vertical="center" wrapText="1"/>
    </xf>
    <xf numFmtId="0" fontId="37" fillId="42" borderId="85" xfId="0" applyFont="1" applyFill="1" applyBorder="1" applyAlignment="1">
      <alignment horizontal="center" vertical="center" wrapText="1"/>
    </xf>
    <xf numFmtId="0" fontId="37" fillId="42" borderId="130" xfId="0" applyFont="1" applyFill="1" applyBorder="1" applyAlignment="1">
      <alignment horizontal="center" vertical="center" wrapText="1"/>
    </xf>
    <xf numFmtId="0" fontId="37" fillId="42" borderId="111" xfId="0" applyFont="1" applyFill="1" applyBorder="1" applyAlignment="1">
      <alignment horizontal="center" vertical="center" wrapText="1"/>
    </xf>
    <xf numFmtId="168" fontId="0" fillId="0" borderId="103" xfId="0" applyNumberFormat="1" applyFont="1" applyFill="1" applyBorder="1" applyAlignment="1" applyProtection="1">
      <alignment horizontal="left"/>
      <protection locked="0"/>
    </xf>
    <xf numFmtId="168" fontId="0" fillId="0" borderId="119" xfId="0" applyNumberFormat="1" applyFont="1" applyFill="1" applyBorder="1" applyAlignment="1" applyProtection="1">
      <alignment horizontal="left"/>
      <protection locked="0"/>
    </xf>
    <xf numFmtId="2" fontId="38" fillId="34" borderId="0" xfId="0" applyNumberFormat="1" applyFont="1" applyBorder="1" applyAlignment="1">
      <alignment horizontal="center" vertical="center"/>
    </xf>
    <xf numFmtId="0" fontId="0" fillId="34" borderId="0" xfId="0" applyBorder="1" applyAlignment="1">
      <alignment horizontal="center" vertical="center" wrapText="1"/>
    </xf>
    <xf numFmtId="0" fontId="0" fillId="34" borderId="0" xfId="0" applyBorder="1" applyAlignment="1">
      <alignment horizontal="center" vertical="center"/>
    </xf>
    <xf numFmtId="0" fontId="46" fillId="34" borderId="0" xfId="0" applyFont="1" applyBorder="1" applyAlignment="1">
      <alignment horizontal="center" vertical="center"/>
    </xf>
    <xf numFmtId="0" fontId="39" fillId="34" borderId="0" xfId="0" applyFont="1" applyBorder="1" applyAlignment="1">
      <alignment horizontal="center" vertical="center"/>
    </xf>
    <xf numFmtId="0" fontId="28" fillId="34" borderId="0" xfId="0" applyFont="1" applyBorder="1" applyAlignment="1">
      <alignment horizontal="center" vertical="center"/>
    </xf>
    <xf numFmtId="0" fontId="34" fillId="54" borderId="130" xfId="60" applyBorder="1"/>
    <xf numFmtId="0" fontId="34" fillId="54" borderId="0" xfId="60" applyBorder="1"/>
    <xf numFmtId="0" fontId="34" fillId="54" borderId="23" xfId="60" applyBorder="1"/>
    <xf numFmtId="0" fontId="34" fillId="54" borderId="103" xfId="60" applyBorder="1"/>
    <xf numFmtId="0" fontId="34" fillId="54" borderId="85" xfId="60" applyBorder="1"/>
    <xf numFmtId="0" fontId="34" fillId="54" borderId="104" xfId="60" applyBorder="1"/>
    <xf numFmtId="0" fontId="0" fillId="0" borderId="91" xfId="0" applyFont="1" applyFill="1" applyBorder="1" applyAlignment="1" applyProtection="1">
      <alignment horizontal="left" wrapText="1"/>
      <protection locked="0"/>
    </xf>
    <xf numFmtId="0" fontId="0" fillId="0" borderId="116" xfId="0" applyFont="1" applyFill="1" applyBorder="1" applyAlignment="1" applyProtection="1">
      <alignment horizontal="left" wrapText="1"/>
      <protection locked="0"/>
    </xf>
    <xf numFmtId="0" fontId="0" fillId="0" borderId="105" xfId="0" applyFont="1" applyFill="1" applyBorder="1" applyAlignment="1" applyProtection="1">
      <alignment horizontal="left" wrapText="1"/>
      <protection locked="0"/>
    </xf>
    <xf numFmtId="22" fontId="0" fillId="43" borderId="61" xfId="0" applyNumberFormat="1" applyFont="1" applyFill="1" applyBorder="1" applyAlignment="1" applyProtection="1">
      <alignment horizontal="left"/>
      <protection locked="0"/>
    </xf>
    <xf numFmtId="22" fontId="0" fillId="43" borderId="79" xfId="0" applyNumberFormat="1" applyFont="1" applyFill="1" applyBorder="1" applyAlignment="1" applyProtection="1">
      <alignment horizontal="left"/>
      <protection locked="0"/>
    </xf>
    <xf numFmtId="22" fontId="0" fillId="43" borderId="106" xfId="0" applyNumberFormat="1" applyFont="1" applyFill="1" applyBorder="1" applyAlignment="1" applyProtection="1">
      <alignment horizontal="left"/>
      <protection locked="0"/>
    </xf>
    <xf numFmtId="0" fontId="24" fillId="42" borderId="163" xfId="0" applyFont="1" applyFill="1" applyBorder="1" applyAlignment="1">
      <alignment horizontal="left" wrapText="1"/>
    </xf>
    <xf numFmtId="0" fontId="24" fillId="42" borderId="169" xfId="0" applyFont="1" applyFill="1" applyBorder="1" applyAlignment="1">
      <alignment horizontal="left" wrapText="1"/>
    </xf>
    <xf numFmtId="0" fontId="24" fillId="42" borderId="164" xfId="0" applyFont="1" applyFill="1" applyBorder="1" applyAlignment="1">
      <alignment horizontal="left" wrapText="1"/>
    </xf>
    <xf numFmtId="0" fontId="24" fillId="42" borderId="165" xfId="0" applyFont="1" applyFill="1" applyBorder="1" applyAlignment="1">
      <alignment horizontal="left" wrapText="1"/>
    </xf>
    <xf numFmtId="0" fontId="24" fillId="42" borderId="170" xfId="0" applyFont="1" applyFill="1" applyBorder="1" applyAlignment="1">
      <alignment horizontal="left" wrapText="1"/>
    </xf>
    <xf numFmtId="0" fontId="24" fillId="42" borderId="166" xfId="0" applyFont="1" applyFill="1" applyBorder="1" applyAlignment="1">
      <alignment horizontal="left" wrapText="1"/>
    </xf>
    <xf numFmtId="0" fontId="24" fillId="42" borderId="167" xfId="0" applyFont="1" applyFill="1" applyBorder="1" applyAlignment="1">
      <alignment horizontal="left" wrapText="1"/>
    </xf>
    <xf numFmtId="0" fontId="24" fillId="42" borderId="171" xfId="0" applyFont="1" applyFill="1" applyBorder="1" applyAlignment="1">
      <alignment horizontal="left" wrapText="1"/>
    </xf>
    <xf numFmtId="0" fontId="24" fillId="42" borderId="168" xfId="0" applyFont="1" applyFill="1" applyBorder="1" applyAlignment="1">
      <alignment horizontal="left" wrapText="1"/>
    </xf>
    <xf numFmtId="0" fontId="24" fillId="42" borderId="163" xfId="0" applyFont="1" applyFill="1" applyBorder="1" applyAlignment="1">
      <alignment horizontal="left"/>
    </xf>
    <xf numFmtId="0" fontId="24" fillId="42" borderId="164" xfId="0" applyFont="1" applyFill="1" applyBorder="1" applyAlignment="1">
      <alignment horizontal="left"/>
    </xf>
    <xf numFmtId="0" fontId="24" fillId="42" borderId="167" xfId="0" applyFont="1" applyFill="1" applyBorder="1" applyAlignment="1">
      <alignment horizontal="left"/>
    </xf>
    <xf numFmtId="0" fontId="24" fillId="42" borderId="168" xfId="0" applyFont="1" applyFill="1" applyBorder="1" applyAlignment="1">
      <alignment horizontal="left"/>
    </xf>
    <xf numFmtId="168" fontId="0" fillId="0" borderId="61" xfId="0" applyNumberFormat="1" applyFont="1" applyFill="1" applyBorder="1" applyAlignment="1" applyProtection="1">
      <alignment horizontal="left"/>
      <protection locked="0"/>
    </xf>
    <xf numFmtId="0" fontId="34" fillId="54" borderId="63" xfId="60" applyBorder="1"/>
    <xf numFmtId="0" fontId="28" fillId="34" borderId="0" xfId="0" applyFont="1" applyAlignment="1" applyProtection="1">
      <alignment horizontal="left" vertical="top" wrapText="1"/>
    </xf>
    <xf numFmtId="22" fontId="0" fillId="43" borderId="172" xfId="0" applyNumberFormat="1" applyFont="1" applyFill="1" applyBorder="1" applyAlignment="1" applyProtection="1">
      <alignment horizontal="left"/>
      <protection locked="0"/>
    </xf>
    <xf numFmtId="22" fontId="0" fillId="43" borderId="63" xfId="0" applyNumberFormat="1" applyFont="1" applyFill="1" applyBorder="1" applyAlignment="1" applyProtection="1">
      <alignment horizontal="left"/>
      <protection locked="0"/>
    </xf>
    <xf numFmtId="0" fontId="24" fillId="42" borderId="165" xfId="0" applyFont="1" applyFill="1" applyBorder="1" applyAlignment="1">
      <alignment horizontal="left"/>
    </xf>
    <xf numFmtId="0" fontId="24" fillId="42" borderId="166" xfId="0" applyFont="1" applyFill="1" applyBorder="1" applyAlignment="1">
      <alignment horizontal="left"/>
    </xf>
    <xf numFmtId="0" fontId="24" fillId="42" borderId="22" xfId="0" applyFont="1" applyFill="1" applyBorder="1" applyAlignment="1">
      <alignment horizontal="left" vertical="center" wrapText="1"/>
    </xf>
    <xf numFmtId="0" fontId="24" fillId="42" borderId="188" xfId="0" applyFont="1" applyFill="1" applyBorder="1" applyAlignment="1">
      <alignment horizontal="left" vertical="center" wrapText="1"/>
    </xf>
    <xf numFmtId="0" fontId="24" fillId="42" borderId="191" xfId="0" applyFont="1" applyFill="1" applyBorder="1" applyAlignment="1">
      <alignment horizontal="left" vertical="center" wrapText="1"/>
    </xf>
    <xf numFmtId="0" fontId="24" fillId="42" borderId="11" xfId="0" applyFont="1" applyFill="1" applyBorder="1" applyAlignment="1">
      <alignment horizontal="left" vertical="center" wrapText="1"/>
    </xf>
    <xf numFmtId="0" fontId="0" fillId="43" borderId="85" xfId="0" applyFont="1" applyFill="1" applyBorder="1" applyAlignment="1" applyProtection="1">
      <alignment wrapText="1"/>
      <protection locked="0"/>
    </xf>
    <xf numFmtId="0" fontId="0" fillId="43" borderId="104" xfId="0" applyFont="1" applyFill="1" applyBorder="1" applyAlignment="1" applyProtection="1">
      <alignment wrapText="1"/>
      <protection locked="0"/>
    </xf>
    <xf numFmtId="1" fontId="0" fillId="0" borderId="116" xfId="0" applyNumberFormat="1" applyFill="1" applyBorder="1" applyAlignment="1" applyProtection="1">
      <alignment wrapText="1"/>
      <protection locked="0"/>
    </xf>
    <xf numFmtId="1" fontId="0" fillId="0" borderId="105" xfId="0" applyNumberFormat="1" applyFill="1" applyBorder="1" applyAlignment="1" applyProtection="1">
      <alignment wrapText="1"/>
      <protection locked="0"/>
    </xf>
    <xf numFmtId="0" fontId="0" fillId="0" borderId="79" xfId="0" applyFill="1" applyBorder="1" applyAlignment="1" applyProtection="1">
      <alignment wrapText="1"/>
      <protection locked="0"/>
    </xf>
    <xf numFmtId="0" fontId="0" fillId="0" borderId="106" xfId="0" applyFill="1" applyBorder="1" applyAlignment="1" applyProtection="1">
      <alignment wrapText="1"/>
      <protection locked="0"/>
    </xf>
    <xf numFmtId="0" fontId="24" fillId="42" borderId="11" xfId="0" applyFont="1" applyFill="1" applyBorder="1" applyAlignment="1">
      <alignment horizontal="left" vertical="center"/>
    </xf>
    <xf numFmtId="0" fontId="0" fillId="43" borderId="158" xfId="0" applyFill="1" applyBorder="1" applyAlignment="1" applyProtection="1">
      <protection locked="0"/>
    </xf>
    <xf numFmtId="0" fontId="0" fillId="43" borderId="159" xfId="0" applyFill="1" applyBorder="1" applyAlignment="1" applyProtection="1">
      <protection locked="0"/>
    </xf>
    <xf numFmtId="49" fontId="31" fillId="33" borderId="110" xfId="53" quotePrefix="1" applyNumberFormat="1" applyFill="1" applyBorder="1" applyAlignment="1" applyProtection="1">
      <protection locked="0"/>
    </xf>
    <xf numFmtId="49" fontId="31" fillId="33" borderId="199" xfId="53" quotePrefix="1" applyNumberFormat="1" applyFill="1" applyBorder="1" applyAlignment="1" applyProtection="1">
      <protection locked="0"/>
    </xf>
    <xf numFmtId="49" fontId="0" fillId="43" borderId="99" xfId="0" applyNumberFormat="1" applyFill="1" applyBorder="1" applyAlignment="1" applyProtection="1">
      <protection locked="0"/>
    </xf>
    <xf numFmtId="49" fontId="0" fillId="43" borderId="161" xfId="0" applyNumberFormat="1" applyFill="1" applyBorder="1" applyAlignment="1" applyProtection="1">
      <protection locked="0"/>
    </xf>
    <xf numFmtId="0" fontId="24" fillId="42" borderId="209" xfId="0" applyFont="1" applyFill="1" applyBorder="1" applyAlignment="1">
      <alignment horizontal="left"/>
    </xf>
    <xf numFmtId="0" fontId="24" fillId="42" borderId="210" xfId="0" applyFont="1" applyFill="1" applyBorder="1" applyAlignment="1">
      <alignment horizontal="left"/>
    </xf>
    <xf numFmtId="0" fontId="24" fillId="42" borderId="206" xfId="0" applyFont="1" applyFill="1" applyBorder="1" applyAlignment="1">
      <alignment horizontal="left"/>
    </xf>
    <xf numFmtId="0" fontId="24" fillId="42" borderId="140" xfId="0" applyFont="1" applyFill="1" applyBorder="1" applyAlignment="1">
      <alignment horizontal="left"/>
    </xf>
    <xf numFmtId="2" fontId="51" fillId="50" borderId="207" xfId="50" applyFont="1" applyFill="1" applyBorder="1" applyAlignment="1">
      <alignment horizontal="center" vertical="center"/>
    </xf>
    <xf numFmtId="2" fontId="51" fillId="50" borderId="191" xfId="50" applyFont="1" applyFill="1" applyBorder="1" applyAlignment="1">
      <alignment horizontal="center" vertical="center"/>
    </xf>
    <xf numFmtId="0" fontId="0" fillId="43" borderId="200" xfId="0" applyFill="1" applyBorder="1" applyAlignment="1" applyProtection="1">
      <protection locked="0"/>
    </xf>
    <xf numFmtId="0" fontId="0" fillId="43" borderId="201" xfId="0" applyFill="1" applyBorder="1" applyAlignment="1" applyProtection="1">
      <protection locked="0"/>
    </xf>
    <xf numFmtId="0" fontId="0" fillId="43" borderId="202" xfId="0" applyFill="1" applyBorder="1" applyAlignment="1" applyProtection="1">
      <protection locked="0"/>
    </xf>
    <xf numFmtId="0" fontId="0" fillId="43" borderId="100" xfId="0" applyFill="1" applyBorder="1" applyAlignment="1" applyProtection="1">
      <protection locked="0"/>
    </xf>
    <xf numFmtId="49" fontId="0" fillId="43" borderId="154" xfId="0" applyNumberFormat="1" applyFill="1" applyBorder="1" applyAlignment="1" applyProtection="1">
      <protection locked="0"/>
    </xf>
    <xf numFmtId="49" fontId="0" fillId="33" borderId="203" xfId="0" applyNumberFormat="1" applyFont="1" applyFill="1" applyBorder="1" applyAlignment="1" applyProtection="1">
      <alignment horizontal="left"/>
      <protection locked="0"/>
    </xf>
    <xf numFmtId="0" fontId="24" fillId="51" borderId="54" xfId="0" applyFont="1" applyFill="1" applyBorder="1" applyAlignment="1"/>
    <xf numFmtId="0" fontId="24" fillId="51" borderId="138" xfId="0" applyFont="1" applyFill="1" applyBorder="1" applyAlignment="1"/>
    <xf numFmtId="0" fontId="24" fillId="42" borderId="98" xfId="0" applyFont="1" applyFill="1" applyBorder="1" applyAlignment="1"/>
    <xf numFmtId="0" fontId="24" fillId="42" borderId="140" xfId="0" applyFont="1" applyFill="1" applyBorder="1" applyAlignment="1"/>
    <xf numFmtId="0" fontId="0" fillId="43" borderId="130" xfId="0" applyFont="1" applyFill="1" applyBorder="1" applyAlignment="1" applyProtection="1">
      <alignment wrapText="1"/>
      <protection locked="0"/>
    </xf>
    <xf numFmtId="0" fontId="0" fillId="43" borderId="0" xfId="0" applyFont="1" applyFill="1" applyBorder="1" applyAlignment="1" applyProtection="1">
      <alignment wrapText="1"/>
      <protection locked="0"/>
    </xf>
    <xf numFmtId="0" fontId="34" fillId="54" borderId="59" xfId="60" applyBorder="1"/>
    <xf numFmtId="0" fontId="24" fillId="42" borderId="54" xfId="0" applyFont="1" applyFill="1" applyBorder="1" applyAlignment="1">
      <alignment horizontal="left"/>
    </xf>
    <xf numFmtId="0" fontId="24" fillId="42" borderId="110" xfId="0" applyFont="1" applyFill="1" applyBorder="1" applyAlignment="1">
      <alignment horizontal="left"/>
    </xf>
    <xf numFmtId="0" fontId="24" fillId="42" borderId="55" xfId="0" applyFont="1" applyFill="1" applyBorder="1" applyAlignment="1">
      <alignment horizontal="left"/>
    </xf>
    <xf numFmtId="0" fontId="24" fillId="42" borderId="100" xfId="0" applyFont="1" applyFill="1" applyBorder="1" applyAlignment="1">
      <alignment horizontal="left"/>
    </xf>
    <xf numFmtId="0" fontId="24" fillId="42" borderId="98" xfId="0" applyFont="1" applyFill="1" applyBorder="1" applyAlignment="1">
      <alignment horizontal="left"/>
    </xf>
    <xf numFmtId="0" fontId="24" fillId="42" borderId="99" xfId="0" applyFont="1" applyFill="1" applyBorder="1" applyAlignment="1">
      <alignment horizontal="left"/>
    </xf>
    <xf numFmtId="2" fontId="51" fillId="50" borderId="208" xfId="50" applyFont="1" applyFill="1" applyBorder="1" applyAlignment="1">
      <alignment horizontal="center" vertical="center"/>
    </xf>
    <xf numFmtId="2" fontId="35" fillId="34" borderId="0" xfId="52" applyNumberFormat="1" applyBorder="1" applyAlignment="1">
      <alignment horizontal="left" vertical="top" wrapText="1"/>
    </xf>
    <xf numFmtId="0" fontId="24" fillId="42" borderId="65" xfId="0" applyFont="1" applyFill="1" applyBorder="1" applyAlignment="1"/>
    <xf numFmtId="0" fontId="24" fillId="42" borderId="180" xfId="0" applyFont="1" applyFill="1" applyBorder="1" applyAlignment="1"/>
    <xf numFmtId="2" fontId="51" fillId="50" borderId="221" xfId="50" applyFont="1" applyFill="1" applyBorder="1" applyAlignment="1">
      <alignment horizontal="center" vertical="center"/>
    </xf>
    <xf numFmtId="2" fontId="51" fillId="50" borderId="219" xfId="50" applyFont="1" applyFill="1" applyBorder="1" applyAlignment="1">
      <alignment horizontal="center" vertical="center"/>
    </xf>
    <xf numFmtId="2" fontId="51" fillId="50" borderId="222" xfId="50" applyFont="1" applyFill="1" applyBorder="1" applyAlignment="1">
      <alignment horizontal="center" vertical="center"/>
    </xf>
    <xf numFmtId="2" fontId="51" fillId="50" borderId="218" xfId="50" applyFont="1" applyFill="1" applyBorder="1" applyAlignment="1">
      <alignment horizontal="center" vertical="center"/>
    </xf>
    <xf numFmtId="2" fontId="51" fillId="50" borderId="220" xfId="50" applyFont="1" applyFill="1" applyBorder="1" applyAlignment="1">
      <alignment horizontal="center" vertical="center"/>
    </xf>
    <xf numFmtId="0" fontId="24" fillId="42" borderId="148" xfId="0" applyFont="1" applyFill="1" applyBorder="1" applyAlignment="1"/>
    <xf numFmtId="0" fontId="24" fillId="42" borderId="175" xfId="0" applyFont="1" applyFill="1" applyBorder="1" applyAlignment="1"/>
    <xf numFmtId="0" fontId="0" fillId="43" borderId="148" xfId="0" applyFill="1" applyBorder="1" applyAlignment="1" applyProtection="1">
      <alignment horizontal="left"/>
      <protection locked="0"/>
    </xf>
    <xf numFmtId="0" fontId="0" fillId="43" borderId="176" xfId="0" applyFill="1" applyBorder="1" applyAlignment="1" applyProtection="1">
      <alignment horizontal="left"/>
      <protection locked="0"/>
    </xf>
    <xf numFmtId="0" fontId="0" fillId="43" borderId="64" xfId="0" applyFill="1" applyBorder="1" applyAlignment="1" applyProtection="1">
      <alignment horizontal="left"/>
      <protection locked="0"/>
    </xf>
    <xf numFmtId="0" fontId="0" fillId="43" borderId="139" xfId="0" applyFill="1" applyBorder="1" applyAlignment="1" applyProtection="1">
      <alignment horizontal="left"/>
      <protection locked="0"/>
    </xf>
    <xf numFmtId="0" fontId="0" fillId="43" borderId="64" xfId="0" applyFont="1" applyFill="1" applyBorder="1" applyAlignment="1" applyProtection="1">
      <alignment horizontal="left" wrapText="1"/>
      <protection locked="0"/>
    </xf>
    <xf numFmtId="0" fontId="0" fillId="43" borderId="139" xfId="0" applyFont="1" applyFill="1" applyBorder="1" applyAlignment="1" applyProtection="1">
      <alignment horizontal="left" wrapText="1"/>
      <protection locked="0"/>
    </xf>
    <xf numFmtId="0" fontId="34" fillId="54" borderId="65" xfId="60" applyBorder="1"/>
    <xf numFmtId="0" fontId="34" fillId="54" borderId="161" xfId="60" applyBorder="1"/>
    <xf numFmtId="49" fontId="0" fillId="43" borderId="173" xfId="0" applyNumberFormat="1" applyFill="1" applyBorder="1" applyAlignment="1" applyProtection="1">
      <protection locked="0"/>
    </xf>
    <xf numFmtId="49" fontId="0" fillId="43" borderId="174" xfId="0" applyNumberFormat="1" applyFill="1" applyBorder="1" applyAlignment="1" applyProtection="1">
      <protection locked="0"/>
    </xf>
    <xf numFmtId="49" fontId="0" fillId="43" borderId="155" xfId="0" applyNumberFormat="1" applyFill="1" applyBorder="1" applyAlignment="1" applyProtection="1">
      <protection locked="0"/>
    </xf>
    <xf numFmtId="49" fontId="0" fillId="43" borderId="156" xfId="0" applyNumberFormat="1" applyFill="1" applyBorder="1" applyAlignment="1" applyProtection="1">
      <protection locked="0"/>
    </xf>
    <xf numFmtId="0" fontId="0" fillId="43" borderId="157" xfId="0" applyFill="1" applyBorder="1" applyAlignment="1" applyProtection="1">
      <protection locked="0"/>
    </xf>
    <xf numFmtId="49" fontId="31" fillId="43" borderId="178" xfId="53" applyNumberFormat="1" applyFill="1" applyBorder="1" applyAlignment="1" applyProtection="1">
      <protection locked="0"/>
    </xf>
    <xf numFmtId="49" fontId="31" fillId="43" borderId="177" xfId="53" applyNumberFormat="1" applyFill="1" applyBorder="1" applyAlignment="1" applyProtection="1">
      <protection locked="0"/>
    </xf>
    <xf numFmtId="49" fontId="31" fillId="43" borderId="179" xfId="53" applyNumberFormat="1" applyFill="1" applyBorder="1" applyAlignment="1" applyProtection="1">
      <protection locked="0"/>
    </xf>
    <xf numFmtId="49" fontId="0" fillId="43" borderId="162" xfId="0" applyNumberFormat="1" applyFill="1" applyBorder="1" applyAlignment="1" applyProtection="1">
      <protection locked="0"/>
    </xf>
    <xf numFmtId="49" fontId="0" fillId="43" borderId="158" xfId="0" applyNumberFormat="1" applyFill="1" applyBorder="1" applyAlignment="1" applyProtection="1">
      <protection locked="0"/>
    </xf>
    <xf numFmtId="49" fontId="0" fillId="43" borderId="159" xfId="0" applyNumberFormat="1" applyFill="1" applyBorder="1" applyAlignment="1" applyProtection="1">
      <protection locked="0"/>
    </xf>
    <xf numFmtId="0" fontId="21" fillId="33" borderId="84" xfId="48" applyBorder="1" applyProtection="1">
      <protection locked="0"/>
    </xf>
    <xf numFmtId="0" fontId="21" fillId="33" borderId="101" xfId="48" applyBorder="1" applyProtection="1">
      <protection locked="0"/>
    </xf>
    <xf numFmtId="0" fontId="0" fillId="33" borderId="84" xfId="48" applyFont="1" applyBorder="1" applyProtection="1">
      <protection locked="0"/>
    </xf>
    <xf numFmtId="0" fontId="0" fillId="43" borderId="107" xfId="0" applyNumberFormat="1" applyFont="1" applyFill="1" applyBorder="1" applyAlignment="1" applyProtection="1">
      <alignment horizontal="center"/>
      <protection locked="0"/>
    </xf>
    <xf numFmtId="2" fontId="48" fillId="40" borderId="0" xfId="49" applyFont="1" applyFill="1" applyBorder="1" applyAlignment="1" applyProtection="1">
      <alignment horizontal="center" vertical="center" wrapText="1"/>
    </xf>
    <xf numFmtId="0" fontId="0" fillId="42" borderId="107" xfId="0" applyNumberFormat="1" applyFont="1" applyFill="1" applyBorder="1" applyAlignment="1" applyProtection="1">
      <alignment horizontal="left"/>
      <protection locked="0"/>
    </xf>
    <xf numFmtId="0" fontId="0" fillId="42" borderId="126" xfId="0" applyNumberFormat="1" applyFont="1" applyFill="1" applyBorder="1" applyAlignment="1" applyProtection="1">
      <alignment horizontal="left"/>
      <protection locked="0"/>
    </xf>
    <xf numFmtId="0" fontId="24" fillId="42" borderId="38" xfId="0" applyFont="1" applyFill="1" applyBorder="1" applyAlignment="1">
      <alignment horizontal="left" vertical="center"/>
    </xf>
    <xf numFmtId="0" fontId="24" fillId="42" borderId="58" xfId="0" applyFont="1" applyFill="1" applyBorder="1" applyAlignment="1">
      <alignment horizontal="left" vertical="center"/>
    </xf>
    <xf numFmtId="0" fontId="24" fillId="42" borderId="182" xfId="0" applyFont="1" applyFill="1" applyBorder="1" applyAlignment="1">
      <alignment horizontal="left" vertical="center"/>
    </xf>
    <xf numFmtId="0" fontId="24" fillId="42" borderId="86" xfId="0" applyFont="1" applyFill="1" applyBorder="1" applyAlignment="1">
      <alignment horizontal="left" vertical="center"/>
    </xf>
    <xf numFmtId="0" fontId="24" fillId="42" borderId="85" xfId="0" applyFont="1" applyFill="1" applyBorder="1" applyAlignment="1">
      <alignment horizontal="left" vertical="center"/>
    </xf>
    <xf numFmtId="0" fontId="24" fillId="42" borderId="87" xfId="0" applyFont="1" applyFill="1" applyBorder="1" applyAlignment="1">
      <alignment horizontal="left" vertical="center"/>
    </xf>
    <xf numFmtId="0" fontId="24" fillId="42" borderId="85" xfId="0" applyFont="1" applyFill="1" applyBorder="1" applyAlignment="1">
      <alignment horizontal="left"/>
    </xf>
    <xf numFmtId="0" fontId="0" fillId="43" borderId="128" xfId="0" applyNumberFormat="1" applyFont="1" applyFill="1" applyBorder="1" applyAlignment="1" applyProtection="1">
      <alignment horizontal="center"/>
      <protection locked="0"/>
    </xf>
    <xf numFmtId="0" fontId="0" fillId="43" borderId="22" xfId="0" applyNumberFormat="1" applyFont="1" applyFill="1" applyBorder="1" applyAlignment="1" applyProtection="1">
      <alignment horizontal="left" vertical="top" wrapText="1"/>
      <protection locked="0"/>
    </xf>
    <xf numFmtId="0" fontId="0" fillId="43" borderId="0" xfId="0" applyNumberFormat="1" applyFont="1" applyFill="1" applyBorder="1" applyAlignment="1" applyProtection="1">
      <alignment horizontal="left" vertical="top" wrapText="1"/>
      <protection locked="0"/>
    </xf>
    <xf numFmtId="0" fontId="0" fillId="43" borderId="23" xfId="0" applyNumberFormat="1" applyFont="1" applyFill="1" applyBorder="1" applyAlignment="1" applyProtection="1">
      <alignment horizontal="left" vertical="top" wrapText="1"/>
      <protection locked="0"/>
    </xf>
    <xf numFmtId="0" fontId="0" fillId="43" borderId="36" xfId="0" applyNumberFormat="1" applyFont="1" applyFill="1" applyBorder="1" applyAlignment="1" applyProtection="1">
      <alignment horizontal="left" vertical="top" wrapText="1"/>
      <protection locked="0"/>
    </xf>
    <xf numFmtId="0" fontId="0" fillId="43" borderId="63" xfId="0" applyNumberFormat="1" applyFont="1" applyFill="1" applyBorder="1" applyAlignment="1" applyProtection="1">
      <alignment horizontal="left" vertical="top" wrapText="1"/>
      <protection locked="0"/>
    </xf>
    <xf numFmtId="0" fontId="0" fillId="43" borderId="59" xfId="0" applyNumberFormat="1" applyFont="1" applyFill="1" applyBorder="1" applyAlignment="1" applyProtection="1">
      <alignment horizontal="left" vertical="top" wrapText="1"/>
      <protection locked="0"/>
    </xf>
    <xf numFmtId="0" fontId="0" fillId="43" borderId="103" xfId="0" applyFont="1" applyFill="1" applyBorder="1" applyAlignment="1" applyProtection="1">
      <alignment horizontal="left"/>
      <protection locked="0"/>
    </xf>
    <xf numFmtId="0" fontId="0" fillId="43" borderId="85" xfId="0" applyFont="1" applyFill="1" applyBorder="1" applyAlignment="1" applyProtection="1">
      <alignment horizontal="left"/>
      <protection locked="0"/>
    </xf>
    <xf numFmtId="0" fontId="0" fillId="43" borderId="104" xfId="0" applyFont="1" applyFill="1" applyBorder="1" applyAlignment="1" applyProtection="1">
      <alignment horizontal="left"/>
      <protection locked="0"/>
    </xf>
    <xf numFmtId="0" fontId="0" fillId="43" borderId="91" xfId="0" applyFont="1" applyFill="1" applyBorder="1" applyAlignment="1" applyProtection="1">
      <alignment horizontal="left"/>
      <protection locked="0"/>
    </xf>
    <xf numFmtId="0" fontId="0" fillId="43" borderId="116" xfId="0" applyFont="1" applyFill="1" applyBorder="1" applyAlignment="1" applyProtection="1">
      <alignment horizontal="left"/>
      <protection locked="0"/>
    </xf>
    <xf numFmtId="0" fontId="0" fillId="43" borderId="105" xfId="0" applyFont="1" applyFill="1" applyBorder="1" applyAlignment="1" applyProtection="1">
      <alignment horizontal="left"/>
      <protection locked="0"/>
    </xf>
    <xf numFmtId="49" fontId="0" fillId="43" borderId="91" xfId="0" applyNumberFormat="1" applyFont="1" applyFill="1" applyBorder="1" applyAlignment="1" applyProtection="1">
      <alignment horizontal="left"/>
      <protection locked="0"/>
    </xf>
    <xf numFmtId="49" fontId="0" fillId="43" borderId="116" xfId="0" applyNumberFormat="1" applyFont="1" applyFill="1" applyBorder="1" applyAlignment="1" applyProtection="1">
      <alignment horizontal="left"/>
      <protection locked="0"/>
    </xf>
    <xf numFmtId="49" fontId="0" fillId="43" borderId="105" xfId="0" applyNumberFormat="1" applyFont="1" applyFill="1" applyBorder="1" applyAlignment="1" applyProtection="1">
      <alignment horizontal="left"/>
      <protection locked="0"/>
    </xf>
    <xf numFmtId="0" fontId="31" fillId="43" borderId="61" xfId="53" applyFill="1" applyBorder="1" applyAlignment="1" applyProtection="1">
      <alignment horizontal="left"/>
      <protection locked="0"/>
    </xf>
    <xf numFmtId="0" fontId="0" fillId="43" borderId="79" xfId="0" applyFont="1" applyFill="1" applyBorder="1" applyAlignment="1" applyProtection="1">
      <alignment horizontal="left"/>
      <protection locked="0"/>
    </xf>
    <xf numFmtId="0" fontId="0" fillId="43" borderId="106" xfId="0" applyFont="1" applyFill="1" applyBorder="1" applyAlignment="1" applyProtection="1">
      <alignment horizontal="left"/>
      <protection locked="0"/>
    </xf>
    <xf numFmtId="0" fontId="37" fillId="42" borderId="0" xfId="0" applyFont="1" applyFill="1" applyBorder="1" applyAlignment="1">
      <alignment horizontal="center" vertical="center" wrapText="1"/>
    </xf>
    <xf numFmtId="0" fontId="37" fillId="42" borderId="224" xfId="0" applyFont="1" applyFill="1" applyBorder="1" applyAlignment="1">
      <alignment horizontal="center" vertical="center" wrapText="1"/>
    </xf>
    <xf numFmtId="0" fontId="37" fillId="42" borderId="169" xfId="0" applyFont="1" applyFill="1" applyBorder="1" applyAlignment="1">
      <alignment horizontal="center" vertical="center" wrapText="1"/>
    </xf>
    <xf numFmtId="0" fontId="37" fillId="42" borderId="228" xfId="0" applyFont="1" applyFill="1" applyBorder="1" applyAlignment="1">
      <alignment horizontal="center" vertical="center" wrapText="1"/>
    </xf>
    <xf numFmtId="0" fontId="37" fillId="42" borderId="46" xfId="0" applyFont="1" applyFill="1" applyBorder="1" applyAlignment="1">
      <alignment horizontal="center" vertical="center" wrapText="1"/>
    </xf>
    <xf numFmtId="0" fontId="37" fillId="42" borderId="227" xfId="0" applyFont="1" applyFill="1" applyBorder="1" applyAlignment="1">
      <alignment horizontal="center" vertical="center" wrapText="1"/>
    </xf>
    <xf numFmtId="0" fontId="37" fillId="42" borderId="229" xfId="0" applyFont="1" applyFill="1" applyBorder="1" applyAlignment="1">
      <alignment horizontal="center" vertical="center" wrapText="1"/>
    </xf>
    <xf numFmtId="0" fontId="37" fillId="42" borderId="223" xfId="0" applyFont="1" applyFill="1" applyBorder="1" applyAlignment="1">
      <alignment horizontal="center" vertical="center" wrapText="1"/>
    </xf>
    <xf numFmtId="0" fontId="37" fillId="42" borderId="226" xfId="0" applyFont="1" applyFill="1" applyBorder="1" applyAlignment="1">
      <alignment horizontal="center" vertical="center" wrapText="1"/>
    </xf>
    <xf numFmtId="0" fontId="37" fillId="42" borderId="22" xfId="0" applyNumberFormat="1" applyFont="1" applyFill="1" applyBorder="1" applyAlignment="1">
      <alignment horizontal="center" vertical="center" wrapText="1"/>
    </xf>
    <xf numFmtId="0" fontId="37" fillId="42" borderId="86" xfId="0" applyNumberFormat="1" applyFont="1" applyFill="1" applyBorder="1" applyAlignment="1">
      <alignment horizontal="center" vertical="center" wrapText="1"/>
    </xf>
    <xf numFmtId="0" fontId="37" fillId="42" borderId="230" xfId="0" applyFont="1" applyFill="1" applyBorder="1" applyAlignment="1">
      <alignment horizontal="center" vertical="center" wrapText="1"/>
    </xf>
    <xf numFmtId="0" fontId="37" fillId="42" borderId="231" xfId="0" applyFont="1" applyFill="1" applyBorder="1" applyAlignment="1">
      <alignment horizontal="center" vertical="center" wrapText="1"/>
    </xf>
    <xf numFmtId="49" fontId="0" fillId="43" borderId="109" xfId="0" applyNumberFormat="1" applyFont="1" applyFill="1" applyBorder="1" applyAlignment="1" applyProtection="1">
      <alignment vertical="top"/>
      <protection locked="0"/>
    </xf>
    <xf numFmtId="49" fontId="0" fillId="43" borderId="47" xfId="0" applyNumberFormat="1" applyFont="1" applyFill="1" applyBorder="1" applyAlignment="1" applyProtection="1">
      <alignment vertical="top"/>
      <protection locked="0"/>
    </xf>
    <xf numFmtId="0" fontId="0" fillId="42" borderId="84" xfId="0" applyNumberFormat="1" applyFill="1" applyBorder="1" applyAlignment="1" applyProtection="1">
      <alignment horizontal="left" wrapText="1"/>
      <protection locked="0"/>
    </xf>
    <xf numFmtId="0" fontId="0" fillId="42" borderId="116" xfId="0" applyNumberFormat="1" applyFill="1" applyBorder="1" applyAlignment="1" applyProtection="1">
      <alignment horizontal="left" wrapText="1"/>
      <protection locked="0"/>
    </xf>
    <xf numFmtId="0" fontId="0" fillId="42" borderId="105" xfId="0" applyNumberFormat="1" applyFill="1" applyBorder="1" applyAlignment="1" applyProtection="1">
      <alignment horizontal="left" wrapText="1"/>
      <protection locked="0"/>
    </xf>
    <xf numFmtId="49" fontId="0" fillId="43" borderId="107" xfId="0" applyNumberFormat="1" applyFont="1" applyFill="1" applyBorder="1" applyAlignment="1" applyProtection="1">
      <alignment wrapText="1"/>
      <protection locked="0"/>
    </xf>
    <xf numFmtId="49" fontId="0" fillId="43" borderId="84" xfId="0" applyNumberFormat="1" applyFont="1" applyFill="1" applyBorder="1" applyAlignment="1" applyProtection="1">
      <alignment wrapText="1"/>
      <protection locked="0"/>
    </xf>
    <xf numFmtId="0" fontId="0" fillId="42" borderId="84" xfId="0" applyNumberFormat="1" applyFont="1" applyFill="1" applyBorder="1" applyAlignment="1" applyProtection="1">
      <alignment horizontal="left"/>
      <protection locked="0"/>
    </xf>
    <xf numFmtId="0" fontId="0" fillId="42" borderId="116" xfId="0" applyNumberFormat="1" applyFont="1" applyFill="1" applyBorder="1" applyAlignment="1" applyProtection="1">
      <alignment horizontal="left"/>
      <protection locked="0"/>
    </xf>
    <xf numFmtId="0" fontId="0" fillId="42" borderId="105" xfId="0" applyNumberFormat="1" applyFont="1" applyFill="1" applyBorder="1" applyAlignment="1" applyProtection="1">
      <alignment horizontal="left"/>
      <protection locked="0"/>
    </xf>
    <xf numFmtId="1" fontId="0" fillId="33" borderId="107" xfId="0" applyNumberFormat="1" applyFont="1" applyFill="1" applyBorder="1" applyAlignment="1" applyProtection="1">
      <alignment horizontal="left"/>
      <protection locked="0"/>
    </xf>
    <xf numFmtId="0" fontId="0" fillId="43" borderId="107" xfId="0" applyNumberFormat="1" applyFill="1" applyBorder="1" applyAlignment="1" applyProtection="1">
      <alignment horizontal="center" wrapText="1"/>
      <protection locked="0"/>
    </xf>
    <xf numFmtId="0" fontId="0" fillId="43" borderId="84" xfId="0" applyFont="1" applyFill="1" applyBorder="1" applyAlignment="1" applyProtection="1">
      <alignment wrapText="1"/>
      <protection locked="0"/>
    </xf>
    <xf numFmtId="0" fontId="0" fillId="43" borderId="101" xfId="0" applyFont="1" applyFill="1" applyBorder="1" applyAlignment="1" applyProtection="1">
      <alignment wrapText="1"/>
      <protection locked="0"/>
    </xf>
    <xf numFmtId="14" fontId="0" fillId="43" borderId="47" xfId="0" applyNumberFormat="1" applyFont="1" applyFill="1" applyBorder="1" applyAlignment="1" applyProtection="1">
      <alignment horizontal="center" vertical="top"/>
      <protection locked="0"/>
    </xf>
    <xf numFmtId="14" fontId="0" fillId="43" borderId="102" xfId="0" applyNumberFormat="1" applyFont="1" applyFill="1" applyBorder="1" applyAlignment="1" applyProtection="1">
      <alignment horizontal="center" vertical="top"/>
      <protection locked="0"/>
    </xf>
    <xf numFmtId="0" fontId="0" fillId="42" borderId="47" xfId="0" applyNumberFormat="1" applyFill="1" applyBorder="1" applyAlignment="1" applyProtection="1">
      <alignment horizontal="left" wrapText="1"/>
      <protection locked="0"/>
    </xf>
    <xf numFmtId="0" fontId="0" fillId="42" borderId="79" xfId="0" applyNumberFormat="1" applyFill="1" applyBorder="1" applyAlignment="1" applyProtection="1">
      <alignment horizontal="left" wrapText="1"/>
      <protection locked="0"/>
    </xf>
    <xf numFmtId="0" fontId="0" fillId="42" borderId="106" xfId="0" applyNumberFormat="1" applyFill="1" applyBorder="1" applyAlignment="1" applyProtection="1">
      <alignment horizontal="left" wrapText="1"/>
      <protection locked="0"/>
    </xf>
    <xf numFmtId="49" fontId="0" fillId="43" borderId="91" xfId="0" applyNumberFormat="1" applyFont="1" applyFill="1" applyBorder="1" applyAlignment="1" applyProtection="1">
      <alignment horizontal="left" vertical="top" wrapText="1"/>
      <protection locked="0"/>
    </xf>
    <xf numFmtId="49" fontId="0" fillId="43" borderId="116" xfId="0" applyNumberFormat="1" applyFont="1" applyFill="1" applyBorder="1" applyAlignment="1" applyProtection="1">
      <alignment horizontal="left" vertical="top" wrapText="1"/>
      <protection locked="0"/>
    </xf>
    <xf numFmtId="49" fontId="0" fillId="43" borderId="105" xfId="0" applyNumberFormat="1" applyFont="1" applyFill="1" applyBorder="1" applyAlignment="1" applyProtection="1">
      <alignment horizontal="left" vertical="top" wrapText="1"/>
      <protection locked="0"/>
    </xf>
    <xf numFmtId="0" fontId="0" fillId="39" borderId="122" xfId="48" applyFont="1" applyFill="1" applyBorder="1" applyAlignment="1" applyProtection="1">
      <alignment horizontal="left" vertical="top" wrapText="1"/>
      <protection locked="0"/>
    </xf>
    <xf numFmtId="0" fontId="0" fillId="39" borderId="123" xfId="48" applyFont="1" applyFill="1" applyBorder="1" applyAlignment="1" applyProtection="1">
      <alignment horizontal="left" vertical="top" wrapText="1"/>
      <protection locked="0"/>
    </xf>
    <xf numFmtId="0" fontId="0" fillId="39" borderId="124" xfId="48" applyFont="1" applyFill="1" applyBorder="1" applyAlignment="1" applyProtection="1">
      <alignment horizontal="left" vertical="top" wrapText="1"/>
      <protection locked="0"/>
    </xf>
    <xf numFmtId="0" fontId="0" fillId="39" borderId="22" xfId="48" applyFont="1" applyFill="1" applyBorder="1" applyAlignment="1" applyProtection="1">
      <alignment horizontal="left" vertical="top" wrapText="1"/>
      <protection locked="0"/>
    </xf>
    <xf numFmtId="0" fontId="0" fillId="39" borderId="0" xfId="48" applyFont="1" applyFill="1" applyBorder="1" applyAlignment="1" applyProtection="1">
      <alignment horizontal="left" vertical="top" wrapText="1"/>
      <protection locked="0"/>
    </xf>
    <xf numFmtId="0" fontId="0" fillId="39" borderId="23" xfId="48" applyFont="1" applyFill="1" applyBorder="1" applyAlignment="1" applyProtection="1">
      <alignment horizontal="left" vertical="top" wrapText="1"/>
      <protection locked="0"/>
    </xf>
    <xf numFmtId="0" fontId="0" fillId="39" borderId="36" xfId="48" applyFont="1" applyFill="1" applyBorder="1" applyAlignment="1" applyProtection="1">
      <alignment horizontal="left" vertical="top" wrapText="1"/>
      <protection locked="0"/>
    </xf>
    <xf numFmtId="0" fontId="0" fillId="39" borderId="63" xfId="48" applyFont="1" applyFill="1" applyBorder="1" applyAlignment="1" applyProtection="1">
      <alignment horizontal="left" vertical="top" wrapText="1"/>
      <protection locked="0"/>
    </xf>
    <xf numFmtId="0" fontId="0" fillId="39" borderId="59" xfId="48" applyFont="1" applyFill="1" applyBorder="1" applyAlignment="1" applyProtection="1">
      <alignment horizontal="left" vertical="top" wrapText="1"/>
      <protection locked="0"/>
    </xf>
    <xf numFmtId="0" fontId="0" fillId="42" borderId="109" xfId="0" applyNumberFormat="1" applyFont="1" applyFill="1" applyBorder="1" applyAlignment="1" applyProtection="1">
      <alignment horizontal="left"/>
      <protection locked="0"/>
    </xf>
    <xf numFmtId="0" fontId="0" fillId="42" borderId="33" xfId="0" applyNumberFormat="1" applyFont="1" applyFill="1" applyBorder="1" applyAlignment="1" applyProtection="1">
      <alignment horizontal="left"/>
      <protection locked="0"/>
    </xf>
    <xf numFmtId="0" fontId="0" fillId="43" borderId="125" xfId="0" applyNumberFormat="1" applyFill="1" applyBorder="1" applyAlignment="1" applyProtection="1">
      <alignment horizontal="center" wrapText="1"/>
      <protection locked="0"/>
    </xf>
    <xf numFmtId="1" fontId="0" fillId="33" borderId="109" xfId="0" applyNumberFormat="1" applyFont="1" applyFill="1" applyBorder="1" applyAlignment="1" applyProtection="1">
      <alignment horizontal="left"/>
      <protection locked="0"/>
    </xf>
    <xf numFmtId="0" fontId="0" fillId="43" borderId="125" xfId="0" applyNumberFormat="1" applyFont="1" applyFill="1" applyBorder="1" applyAlignment="1" applyProtection="1">
      <alignment horizontal="center"/>
      <protection locked="0"/>
    </xf>
    <xf numFmtId="0" fontId="0" fillId="43" borderId="118" xfId="0" applyNumberFormat="1" applyFont="1" applyFill="1" applyBorder="1" applyAlignment="1" applyProtection="1">
      <alignment horizontal="center"/>
      <protection locked="0"/>
    </xf>
    <xf numFmtId="0" fontId="0" fillId="43" borderId="84" xfId="0" applyNumberFormat="1" applyFont="1" applyFill="1" applyBorder="1" applyAlignment="1" applyProtection="1">
      <alignment horizontal="center"/>
      <protection locked="0"/>
    </xf>
    <xf numFmtId="0" fontId="0" fillId="43" borderId="109" xfId="0" applyNumberFormat="1" applyFont="1" applyFill="1" applyBorder="1" applyAlignment="1" applyProtection="1">
      <alignment horizontal="center"/>
      <protection locked="0"/>
    </xf>
    <xf numFmtId="0" fontId="0" fillId="43" borderId="47" xfId="0" applyNumberFormat="1" applyFont="1" applyFill="1" applyBorder="1" applyAlignment="1" applyProtection="1">
      <alignment horizontal="center"/>
      <protection locked="0"/>
    </xf>
    <xf numFmtId="0" fontId="0" fillId="43" borderId="109" xfId="0" applyNumberFormat="1" applyFill="1" applyBorder="1" applyAlignment="1" applyProtection="1">
      <alignment horizontal="center" wrapText="1"/>
      <protection locked="0"/>
    </xf>
    <xf numFmtId="1" fontId="0" fillId="33" borderId="125" xfId="0" applyNumberFormat="1" applyFont="1" applyFill="1" applyBorder="1" applyAlignment="1" applyProtection="1">
      <alignment horizontal="left"/>
      <protection locked="0"/>
    </xf>
    <xf numFmtId="2" fontId="38" fillId="44" borderId="20" xfId="50" applyBorder="1">
      <alignment horizontal="left" vertical="center" indent="1"/>
    </xf>
    <xf numFmtId="2" fontId="38" fillId="44" borderId="60" xfId="50" applyBorder="1">
      <alignment horizontal="left" vertical="center" indent="1"/>
    </xf>
    <xf numFmtId="0" fontId="0" fillId="34" borderId="0" xfId="0" applyProtection="1"/>
    <xf numFmtId="49" fontId="0" fillId="43" borderId="103" xfId="0" applyNumberFormat="1" applyFont="1" applyFill="1" applyBorder="1" applyAlignment="1" applyProtection="1">
      <alignment horizontal="left"/>
      <protection locked="0"/>
    </xf>
    <xf numFmtId="49" fontId="0" fillId="43" borderId="85" xfId="0" applyNumberFormat="1" applyFont="1" applyFill="1" applyBorder="1" applyAlignment="1" applyProtection="1">
      <alignment horizontal="left"/>
      <protection locked="0"/>
    </xf>
    <xf numFmtId="49" fontId="0" fillId="43" borderId="104" xfId="0" applyNumberFormat="1" applyFont="1" applyFill="1" applyBorder="1" applyAlignment="1" applyProtection="1">
      <alignment horizontal="left"/>
      <protection locked="0"/>
    </xf>
    <xf numFmtId="0" fontId="0" fillId="39" borderId="91" xfId="0" applyFont="1" applyFill="1" applyBorder="1" applyAlignment="1">
      <alignment horizontal="left" vertical="top"/>
    </xf>
    <xf numFmtId="0" fontId="0" fillId="39" borderId="116" xfId="0" applyFont="1" applyFill="1" applyBorder="1" applyAlignment="1">
      <alignment horizontal="left" vertical="top"/>
    </xf>
    <xf numFmtId="0" fontId="0" fillId="39" borderId="105" xfId="0" applyFont="1" applyFill="1" applyBorder="1" applyAlignment="1">
      <alignment horizontal="left" vertical="top"/>
    </xf>
    <xf numFmtId="0" fontId="34" fillId="54" borderId="91" xfId="60" applyBorder="1"/>
    <xf numFmtId="0" fontId="34" fillId="54" borderId="116" xfId="60" applyBorder="1"/>
    <xf numFmtId="0" fontId="34" fillId="54" borderId="105" xfId="60" applyBorder="1"/>
    <xf numFmtId="0" fontId="0" fillId="0" borderId="61" xfId="0" applyNumberFormat="1" applyFont="1" applyFill="1" applyBorder="1" applyAlignment="1" applyProtection="1">
      <alignment horizontal="left"/>
      <protection locked="0"/>
    </xf>
    <xf numFmtId="0" fontId="0" fillId="0" borderId="79" xfId="0" applyNumberFormat="1" applyFont="1" applyFill="1" applyBorder="1" applyAlignment="1" applyProtection="1">
      <alignment horizontal="left"/>
      <protection locked="0"/>
    </xf>
    <xf numFmtId="0" fontId="0" fillId="0" borderId="106" xfId="0" applyNumberFormat="1" applyFont="1" applyFill="1" applyBorder="1" applyAlignment="1" applyProtection="1">
      <alignment horizontal="left"/>
      <protection locked="0"/>
    </xf>
    <xf numFmtId="49" fontId="0" fillId="43" borderId="91" xfId="0" applyNumberFormat="1" applyFont="1" applyFill="1" applyBorder="1" applyAlignment="1" applyProtection="1">
      <alignment horizontal="left" vertical="top"/>
      <protection locked="0"/>
    </xf>
    <xf numFmtId="49" fontId="0" fillId="43" borderId="116" xfId="0" applyNumberFormat="1" applyFont="1" applyFill="1" applyBorder="1" applyAlignment="1" applyProtection="1">
      <alignment horizontal="left" vertical="top"/>
      <protection locked="0"/>
    </xf>
    <xf numFmtId="49" fontId="0" fillId="43" borderId="105" xfId="0" applyNumberFormat="1" applyFont="1" applyFill="1" applyBorder="1" applyAlignment="1" applyProtection="1">
      <alignment horizontal="left" vertical="top"/>
      <protection locked="0"/>
    </xf>
    <xf numFmtId="0" fontId="0" fillId="43" borderId="61" xfId="0" applyFont="1" applyFill="1" applyBorder="1" applyAlignment="1" applyProtection="1">
      <alignment horizontal="left"/>
      <protection locked="0"/>
    </xf>
    <xf numFmtId="14" fontId="0" fillId="43" borderId="47" xfId="0" applyNumberFormat="1" applyFont="1" applyFill="1" applyBorder="1" applyAlignment="1" applyProtection="1">
      <alignment horizontal="left" vertical="top"/>
      <protection locked="0"/>
    </xf>
    <xf numFmtId="14" fontId="0" fillId="43" borderId="102" xfId="0" applyNumberFormat="1" applyFont="1" applyFill="1" applyBorder="1" applyAlignment="1" applyProtection="1">
      <alignment horizontal="left" vertical="top"/>
      <protection locked="0"/>
    </xf>
    <xf numFmtId="169" fontId="0" fillId="43" borderId="85" xfId="0" applyNumberFormat="1" applyFont="1" applyFill="1" applyBorder="1" applyAlignment="1" applyProtection="1">
      <alignment horizontal="left"/>
      <protection locked="0"/>
    </xf>
    <xf numFmtId="169" fontId="0" fillId="43" borderId="104" xfId="0" applyNumberFormat="1" applyFont="1" applyFill="1" applyBorder="1" applyAlignment="1" applyProtection="1">
      <alignment horizontal="left"/>
      <protection locked="0"/>
    </xf>
    <xf numFmtId="0" fontId="0" fillId="43" borderId="129" xfId="0" applyNumberFormat="1" applyFont="1" applyFill="1" applyBorder="1" applyAlignment="1" applyProtection="1">
      <alignment horizontal="center"/>
      <protection locked="0"/>
    </xf>
    <xf numFmtId="0" fontId="0" fillId="43" borderId="122" xfId="0" applyFont="1" applyFill="1" applyBorder="1" applyAlignment="1" applyProtection="1">
      <alignment horizontal="left" vertical="top" wrapText="1"/>
      <protection locked="0"/>
    </xf>
    <xf numFmtId="0" fontId="0" fillId="43" borderId="123" xfId="0" applyFont="1" applyFill="1" applyBorder="1" applyAlignment="1" applyProtection="1">
      <alignment horizontal="left" vertical="top" wrapText="1"/>
      <protection locked="0"/>
    </xf>
    <xf numFmtId="0" fontId="0" fillId="43" borderId="124" xfId="0" applyFont="1" applyFill="1" applyBorder="1" applyAlignment="1" applyProtection="1">
      <alignment horizontal="left" vertical="top" wrapText="1"/>
      <protection locked="0"/>
    </xf>
    <xf numFmtId="0" fontId="0" fillId="43" borderId="22" xfId="0" applyFont="1" applyFill="1" applyBorder="1" applyAlignment="1" applyProtection="1">
      <alignment horizontal="left" vertical="top" wrapText="1"/>
      <protection locked="0"/>
    </xf>
    <xf numFmtId="0" fontId="0" fillId="43" borderId="0" xfId="0" applyFont="1" applyFill="1" applyBorder="1" applyAlignment="1" applyProtection="1">
      <alignment horizontal="left" vertical="top" wrapText="1"/>
      <protection locked="0"/>
    </xf>
    <xf numFmtId="0" fontId="0" fillId="43" borderId="23" xfId="0" applyFont="1" applyFill="1" applyBorder="1" applyAlignment="1" applyProtection="1">
      <alignment horizontal="left" vertical="top" wrapText="1"/>
      <protection locked="0"/>
    </xf>
    <xf numFmtId="0" fontId="0" fillId="43" borderId="36" xfId="0" applyFont="1" applyFill="1" applyBorder="1" applyAlignment="1" applyProtection="1">
      <alignment horizontal="left" vertical="top" wrapText="1"/>
      <protection locked="0"/>
    </xf>
    <xf numFmtId="0" fontId="0" fillId="43" borderId="63" xfId="0" applyFont="1" applyFill="1" applyBorder="1" applyAlignment="1" applyProtection="1">
      <alignment horizontal="left" vertical="top" wrapText="1"/>
      <protection locked="0"/>
    </xf>
    <xf numFmtId="0" fontId="0" fillId="43" borderId="59" xfId="0" applyFont="1" applyFill="1" applyBorder="1" applyAlignment="1" applyProtection="1">
      <alignment horizontal="left" vertical="top" wrapText="1"/>
      <protection locked="0"/>
    </xf>
    <xf numFmtId="0" fontId="37" fillId="42" borderId="23" xfId="0" applyFont="1" applyFill="1" applyBorder="1" applyAlignment="1">
      <alignment horizontal="center" vertical="center" wrapText="1"/>
    </xf>
    <xf numFmtId="2" fontId="38" fillId="34" borderId="0" xfId="0" applyNumberFormat="1" applyFont="1" applyBorder="1" applyAlignment="1">
      <alignment horizontal="left" vertical="center" indent="1"/>
    </xf>
    <xf numFmtId="0" fontId="28" fillId="34" borderId="0" xfId="0" applyFont="1" applyBorder="1" applyAlignment="1">
      <alignment horizontal="left" vertical="center" indent="1"/>
    </xf>
    <xf numFmtId="0" fontId="24" fillId="42" borderId="86" xfId="0" applyFont="1" applyFill="1" applyBorder="1" applyAlignment="1"/>
    <xf numFmtId="0" fontId="24" fillId="42" borderId="85" xfId="0" applyFont="1" applyFill="1" applyBorder="1" applyAlignment="1"/>
    <xf numFmtId="0" fontId="24" fillId="42" borderId="87" xfId="0" applyFont="1" applyFill="1" applyBorder="1" applyAlignment="1"/>
    <xf numFmtId="0" fontId="24" fillId="51" borderId="88" xfId="0" applyFont="1" applyFill="1" applyBorder="1" applyAlignment="1"/>
    <xf numFmtId="0" fontId="24" fillId="51" borderId="116" xfId="0" applyFont="1" applyFill="1" applyBorder="1" applyAlignment="1"/>
    <xf numFmtId="0" fontId="24" fillId="51" borderId="89" xfId="0" applyFont="1" applyFill="1" applyBorder="1" applyAlignment="1"/>
    <xf numFmtId="0" fontId="24" fillId="42" borderId="38" xfId="0" applyFont="1" applyFill="1" applyBorder="1" applyAlignment="1">
      <alignment horizontal="left" vertical="top"/>
    </xf>
    <xf numFmtId="0" fontId="24" fillId="42" borderId="58" xfId="0" applyFont="1" applyFill="1" applyBorder="1" applyAlignment="1">
      <alignment horizontal="left" vertical="top"/>
    </xf>
    <xf numFmtId="0" fontId="24" fillId="42" borderId="115" xfId="0" applyFont="1" applyFill="1" applyBorder="1" applyAlignment="1">
      <alignment horizontal="left" vertical="top"/>
    </xf>
    <xf numFmtId="0" fontId="35" fillId="34" borderId="0" xfId="52" applyNumberFormat="1" applyAlignment="1">
      <alignment horizontal="left" vertical="top" wrapText="1"/>
    </xf>
    <xf numFmtId="0" fontId="0" fillId="33" borderId="22"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3" xfId="48" applyFont="1" applyBorder="1" applyAlignment="1" applyProtection="1">
      <alignment horizontal="left" vertical="top" wrapText="1"/>
      <protection locked="0"/>
    </xf>
    <xf numFmtId="0" fontId="0" fillId="33" borderId="36" xfId="48" applyFont="1" applyBorder="1" applyAlignment="1" applyProtection="1">
      <alignment horizontal="left" vertical="top" wrapText="1"/>
      <protection locked="0"/>
    </xf>
    <xf numFmtId="0" fontId="0" fillId="33" borderId="63" xfId="48" applyFont="1" applyBorder="1" applyAlignment="1" applyProtection="1">
      <alignment horizontal="left" vertical="top" wrapText="1"/>
      <protection locked="0"/>
    </xf>
    <xf numFmtId="0" fontId="0" fillId="33" borderId="59" xfId="48" applyFont="1" applyBorder="1" applyAlignment="1" applyProtection="1">
      <alignment horizontal="left" vertical="top" wrapText="1"/>
      <protection locked="0"/>
    </xf>
    <xf numFmtId="0" fontId="24" fillId="42" borderId="88" xfId="0" applyFont="1" applyFill="1" applyBorder="1" applyAlignment="1">
      <alignment horizontal="left"/>
    </xf>
    <xf numFmtId="0" fontId="24" fillId="42" borderId="116" xfId="0" applyFont="1" applyFill="1" applyBorder="1" applyAlignment="1">
      <alignment horizontal="left"/>
    </xf>
    <xf numFmtId="0" fontId="24" fillId="42" borderId="89" xfId="0" applyFont="1" applyFill="1" applyBorder="1" applyAlignment="1">
      <alignment horizontal="left"/>
    </xf>
    <xf numFmtId="0" fontId="24" fillId="42" borderId="88" xfId="0" applyFont="1" applyFill="1" applyBorder="1" applyAlignment="1">
      <alignment horizontal="left" vertical="top"/>
    </xf>
    <xf numFmtId="0" fontId="24" fillId="42" borderId="116" xfId="0" applyFont="1" applyFill="1" applyBorder="1" applyAlignment="1">
      <alignment horizontal="left" vertical="top"/>
    </xf>
    <xf numFmtId="0" fontId="24" fillId="42" borderId="89" xfId="0" applyFont="1" applyFill="1" applyBorder="1" applyAlignment="1">
      <alignment horizontal="left" vertical="top"/>
    </xf>
    <xf numFmtId="0" fontId="24" fillId="42" borderId="79" xfId="0" applyFont="1" applyFill="1" applyBorder="1" applyAlignment="1">
      <alignment horizontal="left"/>
    </xf>
    <xf numFmtId="0" fontId="0" fillId="43" borderId="127" xfId="0" applyNumberFormat="1" applyFont="1" applyFill="1" applyBorder="1" applyAlignment="1" applyProtection="1">
      <alignment horizontal="center"/>
      <protection locked="0"/>
    </xf>
    <xf numFmtId="0" fontId="24" fillId="51" borderId="38" xfId="0" applyFont="1" applyFill="1" applyBorder="1" applyAlignment="1">
      <alignment horizontal="left" wrapText="1"/>
    </xf>
    <xf numFmtId="0" fontId="24" fillId="51" borderId="58" xfId="0" applyFont="1" applyFill="1" applyBorder="1" applyAlignment="1">
      <alignment horizontal="left" wrapText="1"/>
    </xf>
    <xf numFmtId="0" fontId="24" fillId="51" borderId="22" xfId="0" applyFont="1" applyFill="1" applyBorder="1" applyAlignment="1">
      <alignment horizontal="left" wrapText="1"/>
    </xf>
    <xf numFmtId="0" fontId="24" fillId="51" borderId="0" xfId="0" applyFont="1" applyFill="1" applyBorder="1" applyAlignment="1">
      <alignment horizontal="left" wrapText="1"/>
    </xf>
    <xf numFmtId="0" fontId="24" fillId="51" borderId="36" xfId="0" applyFont="1" applyFill="1" applyBorder="1" applyAlignment="1">
      <alignment horizontal="left" wrapText="1"/>
    </xf>
    <xf numFmtId="0" fontId="24" fillId="51" borderId="63" xfId="0" applyFont="1" applyFill="1" applyBorder="1" applyAlignment="1">
      <alignment horizontal="left" wrapText="1"/>
    </xf>
    <xf numFmtId="0" fontId="24" fillId="42" borderId="88" xfId="0" applyFont="1" applyFill="1" applyBorder="1" applyAlignment="1"/>
    <xf numFmtId="0" fontId="24" fillId="42" borderId="116" xfId="0" applyFont="1" applyFill="1" applyBorder="1" applyAlignment="1"/>
    <xf numFmtId="0" fontId="24" fillId="42" borderId="89" xfId="0" applyFont="1" applyFill="1" applyBorder="1" applyAlignment="1"/>
    <xf numFmtId="0" fontId="24" fillId="42" borderId="40" xfId="0" applyFont="1" applyFill="1" applyBorder="1" applyAlignment="1"/>
    <xf numFmtId="0" fontId="24" fillId="42" borderId="79" xfId="0" applyFont="1" applyFill="1" applyBorder="1" applyAlignment="1"/>
    <xf numFmtId="0" fontId="24" fillId="42" borderId="90" xfId="0" applyFont="1" applyFill="1" applyBorder="1" applyAlignment="1"/>
    <xf numFmtId="0" fontId="0" fillId="43" borderId="91" xfId="0" applyNumberFormat="1" applyFont="1" applyFill="1" applyBorder="1" applyAlignment="1" applyProtection="1">
      <alignment horizontal="left"/>
      <protection locked="0"/>
    </xf>
    <xf numFmtId="0" fontId="0" fillId="43" borderId="116" xfId="0" applyNumberFormat="1" applyFont="1" applyFill="1" applyBorder="1" applyAlignment="1" applyProtection="1">
      <alignment horizontal="left"/>
      <protection locked="0"/>
    </xf>
    <xf numFmtId="0" fontId="0" fillId="43" borderId="105" xfId="0" applyNumberFormat="1" applyFont="1" applyFill="1" applyBorder="1" applyAlignment="1" applyProtection="1">
      <alignment horizontal="left"/>
      <protection locked="0"/>
    </xf>
    <xf numFmtId="169" fontId="0" fillId="43" borderId="91" xfId="0" applyNumberFormat="1" applyFont="1" applyFill="1" applyBorder="1" applyAlignment="1" applyProtection="1">
      <alignment horizontal="left"/>
      <protection locked="0"/>
    </xf>
    <xf numFmtId="169" fontId="0" fillId="43" borderId="116" xfId="0" applyNumberFormat="1" applyFont="1" applyFill="1" applyBorder="1" applyAlignment="1" applyProtection="1">
      <alignment horizontal="left"/>
      <protection locked="0"/>
    </xf>
    <xf numFmtId="169" fontId="0" fillId="43" borderId="131" xfId="0" applyNumberFormat="1" applyFont="1" applyFill="1" applyBorder="1" applyAlignment="1" applyProtection="1">
      <alignment horizontal="left"/>
      <protection locked="0"/>
    </xf>
    <xf numFmtId="49" fontId="0" fillId="43" borderId="130" xfId="0" applyNumberFormat="1" applyFont="1" applyFill="1" applyBorder="1" applyAlignment="1" applyProtection="1">
      <alignment horizontal="left"/>
      <protection locked="0"/>
    </xf>
    <xf numFmtId="49" fontId="0" fillId="43" borderId="0" xfId="0" applyNumberFormat="1" applyFont="1" applyFill="1" applyBorder="1" applyAlignment="1" applyProtection="1">
      <alignment horizontal="left"/>
      <protection locked="0"/>
    </xf>
    <xf numFmtId="49" fontId="0" fillId="43" borderId="23" xfId="0" applyNumberFormat="1" applyFont="1" applyFill="1" applyBorder="1" applyAlignment="1" applyProtection="1">
      <alignment horizontal="left"/>
      <protection locked="0"/>
    </xf>
    <xf numFmtId="0" fontId="24" fillId="42" borderId="0" xfId="0" applyFont="1" applyFill="1" applyBorder="1" applyAlignment="1">
      <alignment horizontal="left"/>
    </xf>
    <xf numFmtId="0" fontId="24" fillId="42" borderId="23" xfId="0" applyFont="1" applyFill="1" applyBorder="1" applyAlignment="1">
      <alignment horizontal="left"/>
    </xf>
    <xf numFmtId="169" fontId="0" fillId="43" borderId="103" xfId="0" applyNumberFormat="1" applyFont="1" applyFill="1" applyBorder="1" applyAlignment="1" applyProtection="1">
      <alignment horizontal="left"/>
      <protection locked="0"/>
    </xf>
    <xf numFmtId="0" fontId="0" fillId="43" borderId="61" xfId="0" applyNumberFormat="1" applyFont="1" applyFill="1" applyBorder="1" applyAlignment="1" applyProtection="1">
      <alignment horizontal="left"/>
      <protection locked="0"/>
    </xf>
    <xf numFmtId="0" fontId="0" fillId="43" borderId="79" xfId="0" applyNumberFormat="1" applyFont="1" applyFill="1" applyBorder="1" applyAlignment="1" applyProtection="1">
      <alignment horizontal="left"/>
      <protection locked="0"/>
    </xf>
    <xf numFmtId="0" fontId="0" fillId="43" borderId="106" xfId="0" applyNumberFormat="1" applyFont="1" applyFill="1" applyBorder="1" applyAlignment="1" applyProtection="1">
      <alignment horizontal="left"/>
      <protection locked="0"/>
    </xf>
    <xf numFmtId="0" fontId="24" fillId="42" borderId="112" xfId="0" applyFont="1" applyFill="1" applyBorder="1" applyAlignment="1">
      <alignment horizontal="left"/>
    </xf>
    <xf numFmtId="0" fontId="24" fillId="42" borderId="114" xfId="0" applyFont="1" applyFill="1" applyBorder="1" applyAlignment="1">
      <alignment horizontal="left"/>
    </xf>
    <xf numFmtId="0" fontId="24" fillId="42" borderId="113" xfId="0" applyFont="1" applyFill="1" applyBorder="1" applyAlignment="1">
      <alignment horizontal="left"/>
    </xf>
    <xf numFmtId="0" fontId="35" fillId="33" borderId="24" xfId="52" applyNumberFormat="1" applyFill="1" applyBorder="1" applyAlignment="1" applyProtection="1">
      <alignment horizontal="left" vertical="top" wrapText="1"/>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xf numFmtId="0" fontId="35" fillId="33" borderId="29" xfId="52" applyNumberFormat="1" applyFill="1" applyBorder="1" applyAlignment="1" applyProtection="1">
      <alignment horizontal="left" vertical="top"/>
      <protection locked="0"/>
    </xf>
    <xf numFmtId="0" fontId="35" fillId="33" borderId="30" xfId="52" applyNumberFormat="1" applyFill="1" applyBorder="1" applyAlignment="1" applyProtection="1">
      <alignment horizontal="left" vertical="top"/>
      <protection locked="0"/>
    </xf>
    <xf numFmtId="0" fontId="35" fillId="33" borderId="31" xfId="52" applyNumberFormat="1" applyFill="1" applyBorder="1" applyAlignment="1" applyProtection="1">
      <alignment horizontal="left" vertical="top"/>
      <protection locked="0"/>
    </xf>
    <xf numFmtId="0" fontId="30" fillId="44" borderId="20" xfId="56" applyFont="1" applyFill="1" applyBorder="1" applyAlignment="1" applyProtection="1">
      <alignment horizontal="center" vertical="center"/>
    </xf>
    <xf numFmtId="0" fontId="44" fillId="44" borderId="21" xfId="56" applyFont="1" applyFill="1" applyBorder="1" applyAlignment="1" applyProtection="1">
      <alignment horizontal="center" vertical="center"/>
    </xf>
  </cellXfs>
  <cellStyles count="61">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Blue Grey 900" xfId="47"/>
    <cellStyle name="Calculation" xfId="16" builtinId="22" hidden="1"/>
    <cellStyle name="Check Cell" xfId="18" builtinId="23" hidden="1"/>
    <cellStyle name="Comma" xfId="1" builtinId="3" hidden="1"/>
    <cellStyle name="Comma [0]" xfId="2" builtinId="6" hidden="1"/>
    <cellStyle name="Comment" xfId="52"/>
    <cellStyle name="Currency" xfId="3" builtinId="4" hidden="1"/>
    <cellStyle name="Currency [0]" xfId="4" builtinId="7" hidden="1"/>
    <cellStyle name="Explanatory Text" xfId="21" builtinId="53" hidden="1"/>
    <cellStyle name="Good" xfId="11" builtinId="26" hidden="1"/>
    <cellStyle name="Header" xfId="49"/>
    <cellStyle name="Heading 1" xfId="7" builtinId="16" hidden="1"/>
    <cellStyle name="Heading 2" xfId="8" builtinId="17" hidden="1"/>
    <cellStyle name="Heading 3" xfId="9" builtinId="18" hidden="1"/>
    <cellStyle name="Heading 4" xfId="10" builtinId="19" hidden="1"/>
    <cellStyle name="Hyperlink" xfId="53" builtinId="8"/>
    <cellStyle name="Input" xfId="14" builtinId="20" hidden="1"/>
    <cellStyle name="Input" xfId="48" builtinId="20" customBuiltin="1"/>
    <cellStyle name="Light grey" xfId="51"/>
    <cellStyle name="Linked Cell" xfId="17" builtinId="24" hidden="1"/>
    <cellStyle name="LOCKED Left" xfId="60"/>
    <cellStyle name="Neutral" xfId="13" builtinId="28" hidden="1"/>
    <cellStyle name="Normal" xfId="0" builtinId="0" customBuiltin="1"/>
    <cellStyle name="Normal 2" xfId="54"/>
    <cellStyle name="Normal 2 2" xfId="59"/>
    <cellStyle name="Normal 3" xfId="55"/>
    <cellStyle name="Normal 4" xfId="56"/>
    <cellStyle name="Normal 4 2" xfId="57"/>
    <cellStyle name="Normal 5" xfId="58"/>
    <cellStyle name="Note" xfId="20" builtinId="10" hidden="1"/>
    <cellStyle name="Output" xfId="15" builtinId="21" hidden="1"/>
    <cellStyle name="Percent" xfId="5" builtinId="5" hidden="1"/>
    <cellStyle name="Title" xfId="6" builtinId="15" hidden="1"/>
    <cellStyle name="Title level 2" xfId="50"/>
    <cellStyle name="Total" xfId="22" builtinId="25" hidden="1"/>
    <cellStyle name="Warning Text" xfId="19" builtinId="11" hidden="1"/>
  </cellStyles>
  <dxfs count="158">
    <dxf>
      <fill>
        <patternFill patternType="solid">
          <fgColor theme="0"/>
          <bgColor theme="0"/>
        </patternFill>
      </fill>
      <alignment horizontal="general" vertical="bottom" textRotation="0" wrapText="0" indent="0" justifyLastLine="0" shrinkToFit="0" readingOrder="0"/>
      <border diagonalUp="0" diagonalDown="0">
        <left style="dashed">
          <color rgb="FFB0BEC5"/>
        </left>
        <right/>
        <top style="dashed">
          <color rgb="FFB0BEC5"/>
        </top>
        <bottom/>
        <vertical/>
        <horizontal/>
      </border>
    </dxf>
    <dxf>
      <fill>
        <patternFill patternType="solid">
          <fgColor theme="0"/>
          <bgColor theme="0"/>
        </patternFill>
      </fill>
      <alignment horizontal="left" vertical="bottom" textRotation="0" wrapText="0" indent="0" justifyLastLine="0" shrinkToFit="0" readingOrder="0"/>
      <border diagonalUp="0" diagonalDown="0">
        <left style="dashed">
          <color rgb="FFB0BEC5"/>
        </left>
        <right/>
        <top style="dashed">
          <color rgb="FFB0BEC5"/>
        </top>
        <bottom/>
        <vertical/>
        <horizontal/>
      </border>
    </dxf>
    <dxf>
      <fill>
        <patternFill patternType="solid">
          <fgColor theme="0"/>
          <bgColor theme="0"/>
        </patternFill>
      </fill>
      <alignment horizontal="general" vertical="bottom" textRotation="0" wrapText="0" indent="0" justifyLastLine="0" shrinkToFit="0" readingOrder="0"/>
      <border diagonalUp="0" diagonalDown="0">
        <left/>
        <right/>
        <top style="dashed">
          <color rgb="FFB0BEC5"/>
        </top>
        <bottom/>
        <vertical/>
        <horizontal/>
      </border>
    </dxf>
    <dxf>
      <border outline="0">
        <left style="thick">
          <color rgb="FFBFC1C3"/>
        </left>
        <right style="thick">
          <color rgb="FFBFC1C3"/>
        </right>
        <bottom style="thick">
          <color rgb="FFBFC1C3"/>
        </bottom>
      </border>
    </dxf>
    <dxf>
      <font>
        <b/>
        <i val="0"/>
        <strike val="0"/>
        <condense val="0"/>
        <extend val="0"/>
        <outline val="0"/>
        <shadow val="0"/>
        <u val="none"/>
        <vertAlign val="baseline"/>
        <sz val="10"/>
        <color theme="1"/>
        <name val="Arial"/>
        <scheme val="none"/>
      </font>
      <fill>
        <patternFill patternType="solid">
          <fgColor theme="0"/>
          <bgColor rgb="FFDEE0E2"/>
        </patternFill>
      </fill>
      <alignment horizontal="center" vertical="center" textRotation="0" wrapText="1" indent="0" justifyLastLine="0" shrinkToFit="0" readingOrder="0"/>
    </dxf>
    <dxf>
      <font>
        <sz val="11"/>
        <color rgb="FF000000"/>
        <name val="Calibri"/>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sz val="11"/>
        <color rgb="FF000000"/>
        <name val="Calibri"/>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outline="0">
        <bottom style="thin">
          <color indexed="64"/>
        </bottom>
      </border>
    </dxf>
    <dxf>
      <font>
        <sz val="11"/>
        <color rgb="FF000000"/>
        <name val="Calibri"/>
      </font>
      <alignment horizontal="general" vertical="bottom" textRotation="0" wrapText="1" indent="0" justifyLastLine="0" shrinkToFit="0" readingOrder="0"/>
    </dxf>
    <dxf>
      <alignment horizontal="center" vertical="center" textRotation="0" wrapText="1" indent="0" justifyLastLine="0" shrinkToFit="0" readingOrder="0"/>
    </dxf>
    <dxf>
      <fill>
        <patternFill patternType="solid">
          <fgColor theme="0" tint="-4.9989318521683403E-2"/>
          <bgColor rgb="FFF3F6F8"/>
        </patternFill>
      </fill>
      <border diagonalUp="0" diagonalDown="0">
        <left style="dashed">
          <color rgb="FFB0BEC5"/>
        </left>
        <right style="thin">
          <color rgb="FF455A64"/>
        </right>
        <top style="dashed">
          <color rgb="FFB0BEC5"/>
        </top>
        <bottom style="dashed">
          <color rgb="FFB0BEC5"/>
        </bottom>
        <vertical/>
        <horizontal/>
      </border>
    </dxf>
    <dxf>
      <fill>
        <patternFill patternType="solid">
          <fgColor theme="0" tint="-4.9989318521683403E-2"/>
          <bgColor rgb="FFF3F6F8"/>
        </patternFill>
      </fill>
      <alignment horizontal="general" vertical="bottom" textRotation="0" wrapText="1" indent="0" justifyLastLine="0" shrinkToFit="0" readingOrder="0"/>
      <border diagonalUp="0" diagonalDown="0" outline="0">
        <left style="thin">
          <color rgb="FF455A64"/>
        </left>
        <right style="dashed">
          <color rgb="FFB0BEC5"/>
        </right>
        <top style="dashed">
          <color rgb="FFB0BEC5"/>
        </top>
        <bottom style="dashed">
          <color rgb="FFB0BEC5"/>
        </bottom>
      </border>
    </dxf>
    <dxf>
      <border outline="0">
        <bottom style="thin">
          <color rgb="FF455A64"/>
        </bottom>
      </border>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ck">
          <color rgb="FFBFC1C3"/>
        </left>
        <right style="thick">
          <color rgb="FFBFC1C3"/>
        </right>
        <top/>
        <bottom/>
      </border>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ck">
          <color rgb="FFBFC1C3"/>
        </right>
        <top/>
        <bottom/>
      </border>
      <protection locked="1" hidden="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ck">
          <color rgb="FFBFC1C3"/>
        </left>
        <right/>
        <top/>
        <bottom/>
      </border>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ill>
        <patternFill>
          <bgColor rgb="FFFF0000"/>
        </patternFill>
      </fill>
    </dxf>
    <dxf>
      <fill>
        <patternFill>
          <bgColor rgb="FFFF0000"/>
        </patternFill>
      </fill>
    </dxf>
    <dxf>
      <fill>
        <patternFill>
          <bgColor rgb="FF9BC2E6"/>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9"/>
        </patternFill>
      </fill>
    </dxf>
    <dxf>
      <fill>
        <patternFill>
          <bgColor rgb="FFFF0000"/>
        </patternFill>
      </fill>
    </dxf>
    <dxf>
      <font>
        <color rgb="FFFF0000"/>
      </font>
    </dxf>
    <dxf>
      <font>
        <color theme="0" tint="-0.34998626667073579"/>
      </font>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ont>
        <color theme="0" tint="-0.34998626667073579"/>
      </font>
    </dxf>
    <dxf>
      <font>
        <color theme="0" tint="-0.34998626667073579"/>
      </font>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tint="-0.34998626667073579"/>
      </font>
    </dxf>
    <dxf>
      <font>
        <color theme="0" tint="-0.34998626667073579"/>
      </font>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rgb="FFFF0000"/>
        </patternFill>
      </fill>
    </dxf>
    <dxf>
      <font>
        <color theme="0" tint="-0.34998626667073579"/>
      </font>
    </dxf>
    <dxf>
      <font>
        <color theme="0" tint="-0.34998626667073579"/>
      </font>
    </dxf>
    <dxf>
      <font>
        <color theme="0" tint="-0.34998626667073579"/>
      </font>
    </dxf>
    <dxf>
      <font>
        <color theme="0" tint="-0.34998626667073579"/>
      </font>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0"/>
        </patternFill>
      </fill>
    </dxf>
    <dxf>
      <fill>
        <patternFill>
          <bgColor theme="0"/>
        </patternFill>
      </fill>
    </dxf>
    <dxf>
      <font>
        <color theme="0"/>
      </font>
      <fill>
        <patternFill>
          <bgColor rgb="FFFF000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0000"/>
        </patternFill>
      </fill>
    </dxf>
    <dxf>
      <fill>
        <patternFill>
          <bgColor rgb="FFFF0000"/>
        </patternFill>
      </fill>
    </dxf>
    <dxf>
      <fill>
        <patternFill>
          <bgColor rgb="FFFFFF00"/>
        </patternFill>
      </fill>
    </dxf>
    <dxf>
      <fill>
        <patternFill>
          <bgColor rgb="FFDEE0E2"/>
        </patternFill>
      </fill>
    </dxf>
    <dxf>
      <fill>
        <patternFill>
          <bgColor rgb="FFFFFF00"/>
        </patternFill>
      </fill>
    </dxf>
    <dxf>
      <fill>
        <patternFill>
          <bgColor theme="9"/>
        </patternFill>
      </fill>
    </dxf>
    <dxf>
      <fill>
        <patternFill>
          <bgColor rgb="FFFF0000"/>
        </patternFill>
      </fill>
    </dxf>
    <dxf>
      <fill>
        <patternFill>
          <bgColor rgb="FF9BC2E6"/>
        </patternFill>
      </fill>
    </dxf>
    <dxf>
      <font>
        <color theme="0" tint="-0.34998626667073579"/>
      </font>
    </dxf>
    <dxf>
      <font>
        <color theme="0" tint="-0.34998626667073579"/>
      </font>
    </dxf>
    <dxf>
      <fill>
        <patternFill>
          <bgColor rgb="FFDEE0E2"/>
        </patternFill>
      </fill>
    </dxf>
    <dxf>
      <font>
        <color theme="0"/>
      </font>
      <fill>
        <patternFill>
          <bgColor rgb="FFFF00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ont>
        <color rgb="FFFF0000"/>
      </font>
    </dxf>
    <dxf>
      <fill>
        <patternFill>
          <bgColor rgb="FFFF0000"/>
        </patternFill>
      </fill>
    </dxf>
    <dxf>
      <fill>
        <patternFill>
          <bgColor theme="4" tint="0.39994506668294322"/>
        </patternFill>
      </fill>
    </dxf>
    <dxf>
      <fill>
        <patternFill>
          <bgColor theme="2"/>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tableStyleElement type="wholeTable" dxfId="157"/>
      <tableStyleElement type="headerRow" dxfId="156"/>
      <tableStyleElement type="totalRow" dxfId="155"/>
      <tableStyleElement type="firstColumn" dxfId="154"/>
    </tableStyle>
    <tableStyle name="Table Style 1" pivot="0" count="0"/>
  </tableStyles>
  <colors>
    <mruColors>
      <color rgb="FF9BC2E6"/>
      <color rgb="FFBFC1C3"/>
      <color rgb="FFDEE0E2"/>
      <color rgb="FF90A4AE"/>
      <color rgb="FF455A64"/>
      <color rgb="FFB0BEC5"/>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10</xdr:col>
      <xdr:colOff>9525</xdr:colOff>
      <xdr:row>4</xdr:row>
      <xdr:rowOff>0</xdr:rowOff>
    </xdr:from>
    <xdr:to>
      <xdr:col>11</xdr:col>
      <xdr:colOff>104650</xdr:colOff>
      <xdr:row>12</xdr:row>
      <xdr:rowOff>148493</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7620</xdr:rowOff>
        </xdr:from>
        <xdr:to>
          <xdr:col>1</xdr:col>
          <xdr:colOff>0</xdr:colOff>
          <xdr:row>14</xdr:row>
          <xdr:rowOff>0</xdr:rowOff>
        </xdr:to>
        <xdr:sp macro="" textlink="">
          <xdr:nvSpPr>
            <xdr:cNvPr id="38914" name="ComboBox1" hidden="1">
              <a:extLst>
                <a:ext uri="{63B3BB69-23CF-44E3-9099-C40C66FF867C}">
                  <a14:compatExt spid="_x0000_s389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22860</xdr:rowOff>
        </xdr:from>
        <xdr:to>
          <xdr:col>1</xdr:col>
          <xdr:colOff>0</xdr:colOff>
          <xdr:row>6</xdr:row>
          <xdr:rowOff>22860</xdr:rowOff>
        </xdr:to>
        <xdr:sp macro="" textlink="">
          <xdr:nvSpPr>
            <xdr:cNvPr id="38916" name="VOY_VOY_POC_DROPDOWN" hidden="1">
              <a:extLst>
                <a:ext uri="{63B3BB69-23CF-44E3-9099-C40C66FF867C}">
                  <a14:compatExt spid="_x0000_s3891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18</xdr:row>
          <xdr:rowOff>7620</xdr:rowOff>
        </xdr:from>
        <xdr:to>
          <xdr:col>4</xdr:col>
          <xdr:colOff>0</xdr:colOff>
          <xdr:row>19</xdr:row>
          <xdr:rowOff>45720</xdr:rowOff>
        </xdr:to>
        <xdr:sp macro="" textlink="">
          <xdr:nvSpPr>
            <xdr:cNvPr id="13345" name="ComboBox2"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xdr:colOff>
          <xdr:row>4</xdr:row>
          <xdr:rowOff>266700</xdr:rowOff>
        </xdr:from>
        <xdr:to>
          <xdr:col>2</xdr:col>
          <xdr:colOff>3093720</xdr:colOff>
          <xdr:row>6</xdr:row>
          <xdr:rowOff>7620</xdr:rowOff>
        </xdr:to>
        <xdr:sp macro="" textlink="">
          <xdr:nvSpPr>
            <xdr:cNvPr id="13346" name="VOY_VOY_POC_DROPDOWN" hidden="1">
              <a:extLst>
                <a:ext uri="{63B3BB69-23CF-44E3-9099-C40C66FF867C}">
                  <a14:compatExt spid="_x0000_s13346"/>
                </a:ext>
              </a:extLst>
            </xdr:cNvPr>
            <xdr:cNvSpPr/>
          </xdr:nvSpPr>
          <xdr:spPr>
            <a:xfrm>
              <a:off x="0" y="0"/>
              <a:ext cx="0" cy="0"/>
            </a:xfrm>
            <a:prstGeom prst="rect">
              <a:avLst/>
            </a:prstGeom>
          </xdr:spPr>
        </xdr:sp>
        <xdr:clientData/>
      </xdr:twoCellAnchor>
    </mc:Choice>
    <mc:Fallback/>
  </mc:AlternateContent>
</xdr:wsDr>
</file>

<file path=xl/tables/table1.xml><?xml version="1.0" encoding="utf-8"?>
<table xmlns="http://schemas.openxmlformats.org/spreadsheetml/2006/main" id="2" name="Table2" displayName="Table2" ref="B8:Q47" totalsRowShown="0" headerRowDxfId="31" dataDxfId="30" headerRowCellStyle="Normal 4" dataCellStyle="Normal 4">
  <autoFilter ref="B8:Q4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Vessel Type" dataDxfId="29" dataCellStyle="Normal 4"/>
    <tableColumn id="2" name="Coming From" dataDxfId="28" dataCellStyle="Normal 4"/>
    <tableColumn id="3" name="Gross Tonnage" dataDxfId="27" dataCellStyle="Normal 4"/>
    <tableColumn id="4" name="Length" dataDxfId="26" dataCellStyle="Normal 4"/>
    <tableColumn id="5" name="Carrying DPG?" dataDxfId="25" dataCellStyle="Normal 4"/>
    <tableColumn id="7" name="Ship Identification" dataDxfId="24" dataCellStyle="Normal 4"/>
    <tableColumn id="8" name="Port of Destination" dataDxfId="23" dataCellStyle="Normal 4"/>
    <tableColumn id="9" name="ETA" dataDxfId="22" dataCellStyle="Normal 4"/>
    <tableColumn id="10" name="ETD" dataDxfId="21" dataCellStyle="Normal 4"/>
    <tableColumn id="11" name="ATA" dataDxfId="20" dataCellStyle="Normal 4"/>
    <tableColumn id="12" name="ATD" dataDxfId="19" dataCellStyle="Normal 4"/>
    <tableColumn id="13" name="PoB" dataDxfId="18" dataCellStyle="Normal 4"/>
    <tableColumn id="14" name="DPG on Arrival" dataDxfId="17" dataCellStyle="Normal 4"/>
    <tableColumn id="15" name="DPG on Departure" dataDxfId="16" dataCellStyle="Normal 4"/>
    <tableColumn id="16" name="Security Information" dataDxfId="15" dataCellStyle="Normal 4"/>
    <tableColumn id="17" name="Port Waste" dataDxfId="14" dataCellStyle="Normal 4"/>
  </tableColumns>
  <tableStyleInfo name="Main table style 2 2" showFirstColumn="0" showLastColumn="0" showRowStripes="1" showColumnStripes="0"/>
</table>
</file>

<file path=xl/tables/table2.xml><?xml version="1.0" encoding="utf-8"?>
<table xmlns="http://schemas.openxmlformats.org/spreadsheetml/2006/main" id="56" name="REF_WASTE_TYPE_CODE" displayName="REF_WASTE_TYPE_CODE" ref="AG1:AH37" totalsRowShown="0" headerRowDxfId="13" tableBorderDxfId="12">
  <autoFilter ref="AG1:AH37"/>
  <tableColumns count="2">
    <tableColumn id="1" name="Waste type" dataDxfId="11"/>
    <tableColumn id="2" name="Waste code" dataDxfId="10"/>
  </tableColumns>
  <tableStyleInfo name="Main table style 2 2" showFirstColumn="0" showLastColumn="0" showRowStripes="1" showColumnStripes="0"/>
</table>
</file>

<file path=xl/tables/table3.xml><?xml version="1.0" encoding="utf-8"?>
<table xmlns="http://schemas.openxmlformats.org/spreadsheetml/2006/main" id="1" name="REF_COUNTRIES_CODES" displayName="REF_COUNTRIES_CODES" ref="AN1:AO297" totalsRowShown="0" headerRowDxfId="9" dataDxfId="8" tableBorderDxfId="7" dataCellStyle="Normal 3">
  <autoFilter ref="AN1:AO297"/>
  <tableColumns count="2">
    <tableColumn id="1" name="Country code" dataDxfId="6" dataCellStyle="Normal 3"/>
    <tableColumn id="2" name="Country name" dataDxfId="5" dataCellStyle="Normal 3"/>
  </tableColumns>
  <tableStyleInfo name="Main table style 2 2" showFirstColumn="0" showLastColumn="0" showRowStripes="1" showColumnStripes="0"/>
</table>
</file>

<file path=xl/tables/table4.xml><?xml version="1.0" encoding="utf-8"?>
<table xmlns="http://schemas.openxmlformats.org/spreadsheetml/2006/main" id="6" name="REF_SHIP_TYPE_TABLE" displayName="REF_SHIP_TYPE_TABLE" ref="N1:P90" totalsRowShown="0" headerRowDxfId="4" tableBorderDxfId="3">
  <autoFilter ref="N1:P90"/>
  <tableColumns count="3">
    <tableColumn id="1" name="Name" dataDxfId="2"/>
    <tableColumn id="2" name="Code" dataDxfId="1"/>
    <tableColumn id="3" name="Description" dataDxfId="0"/>
  </tableColumns>
  <tableStyleInfo name="Main table style 2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gov.uk/government/organisations/maritime-and-coastguard-agency" TargetMode="External"/><Relationship Id="rId7" Type="http://schemas.openxmlformats.org/officeDocument/2006/relationships/printerSettings" Target="../printerSettings/printerSettings1.bin"/><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hyperlink" Target="http://www.emsa.europa.eu/ssn-main/documents.html" TargetMode="External"/><Relationship Id="rId5" Type="http://schemas.openxmlformats.org/officeDocument/2006/relationships/hyperlink" Target="mailto:cers@ibboost.com" TargetMode="External"/><Relationship Id="rId4" Type="http://schemas.openxmlformats.org/officeDocument/2006/relationships/hyperlink" Target="https://www.ibboost.com/"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10.bin"/><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5.xml"/><Relationship Id="rId5" Type="http://schemas.openxmlformats.org/officeDocument/2006/relationships/image" Target="../media/image5.emf"/><Relationship Id="rId4" Type="http://schemas.openxmlformats.org/officeDocument/2006/relationships/control" Target="../activeX/activeX4.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V121"/>
  <sheetViews>
    <sheetView tabSelected="1" zoomScale="85" zoomScaleNormal="85" workbookViewId="0">
      <pane ySplit="3" topLeftCell="A4" activePane="bottomLeft" state="frozen"/>
      <selection pane="bottomLeft" activeCell="C20" sqref="C20"/>
    </sheetView>
  </sheetViews>
  <sheetFormatPr defaultColWidth="9.109375" defaultRowHeight="13.2"/>
  <cols>
    <col min="1" max="1" width="2.33203125" style="29" customWidth="1"/>
    <col min="2" max="2" width="18.33203125" style="29" customWidth="1"/>
    <col min="3" max="3" width="16" style="29" customWidth="1"/>
    <col min="4" max="4" width="20.109375" style="29" customWidth="1"/>
    <col min="5" max="5" width="15.109375" style="29" customWidth="1"/>
    <col min="6" max="6" width="3.44140625" style="29" customWidth="1"/>
    <col min="7" max="7" width="25.33203125" style="29" customWidth="1"/>
    <col min="8" max="8" width="31.88671875" style="29" customWidth="1"/>
    <col min="9" max="9" width="15.5546875" style="29" customWidth="1"/>
    <col min="10" max="10" width="11.109375" style="29" customWidth="1"/>
    <col min="11" max="11" width="22.88671875" style="29" customWidth="1"/>
    <col min="12" max="12" width="25.109375" style="29" customWidth="1"/>
    <col min="13" max="14" width="16.88671875" style="29" customWidth="1"/>
    <col min="15" max="15" width="4.109375" style="29" customWidth="1"/>
    <col min="16" max="19" width="16.88671875" style="29" customWidth="1"/>
    <col min="20" max="16384" width="9.109375" style="29"/>
  </cols>
  <sheetData>
    <row r="1" spans="2:22" s="51" customFormat="1" ht="4.5" customHeight="1"/>
    <row r="2" spans="2:22" s="51" customFormat="1" ht="21">
      <c r="B2" s="51" t="s">
        <v>704</v>
      </c>
    </row>
    <row r="3" spans="2:22" s="51" customFormat="1" ht="4.5" customHeight="1"/>
    <row r="4" spans="2:22" ht="12.75" customHeight="1">
      <c r="B4" s="30"/>
      <c r="C4" s="30"/>
      <c r="D4" s="30"/>
      <c r="E4" s="30"/>
    </row>
    <row r="5" spans="2:22" ht="12.75" customHeight="1">
      <c r="B5" s="611" t="s">
        <v>703</v>
      </c>
      <c r="C5" s="611"/>
      <c r="D5" s="611"/>
      <c r="E5" s="611"/>
      <c r="F5" s="611"/>
      <c r="G5" s="611"/>
      <c r="H5" s="611"/>
      <c r="I5" s="611"/>
    </row>
    <row r="6" spans="2:22" s="31" customFormat="1" ht="12.75" customHeight="1">
      <c r="B6" s="611"/>
      <c r="C6" s="611"/>
      <c r="D6" s="611"/>
      <c r="E6" s="611"/>
      <c r="F6" s="611"/>
      <c r="G6" s="611"/>
      <c r="H6" s="611"/>
      <c r="I6" s="611"/>
    </row>
    <row r="7" spans="2:22" s="31" customFormat="1" ht="12.75" customHeight="1">
      <c r="B7" s="611"/>
      <c r="C7" s="611"/>
      <c r="D7" s="611"/>
      <c r="E7" s="611"/>
      <c r="F7" s="611"/>
      <c r="G7" s="611"/>
      <c r="H7" s="611"/>
      <c r="I7" s="611"/>
    </row>
    <row r="8" spans="2:22" s="31" customFormat="1" ht="12.75" customHeight="1">
      <c r="B8" s="611"/>
      <c r="C8" s="611"/>
      <c r="D8" s="611"/>
      <c r="E8" s="611"/>
      <c r="F8" s="611"/>
      <c r="G8" s="611"/>
      <c r="H8" s="611"/>
      <c r="I8" s="611"/>
    </row>
    <row r="9" spans="2:22" s="31" customFormat="1" ht="12.75" customHeight="1">
      <c r="B9" s="611"/>
      <c r="C9" s="611"/>
      <c r="D9" s="611"/>
      <c r="E9" s="611"/>
      <c r="F9" s="611"/>
      <c r="G9" s="611"/>
      <c r="H9" s="611"/>
      <c r="I9" s="611"/>
      <c r="M9" s="29"/>
      <c r="N9" s="29"/>
      <c r="O9" s="29"/>
      <c r="P9" s="29"/>
      <c r="Q9" s="29"/>
      <c r="R9" s="29"/>
      <c r="S9" s="29"/>
      <c r="T9" s="29"/>
      <c r="U9" s="29"/>
      <c r="V9" s="29"/>
    </row>
    <row r="10" spans="2:22" s="31" customFormat="1" ht="12.75" customHeight="1">
      <c r="B10" s="611"/>
      <c r="C10" s="611"/>
      <c r="D10" s="611"/>
      <c r="E10" s="611"/>
      <c r="F10" s="611"/>
      <c r="G10" s="611"/>
      <c r="H10" s="611"/>
      <c r="I10" s="611"/>
      <c r="M10" s="29"/>
      <c r="N10" s="29"/>
      <c r="O10" s="29"/>
      <c r="P10" s="29"/>
      <c r="Q10" s="29"/>
      <c r="R10" s="29"/>
      <c r="S10" s="29"/>
      <c r="T10" s="29"/>
      <c r="U10" s="29"/>
      <c r="V10" s="29"/>
    </row>
    <row r="11" spans="2:22" s="31" customFormat="1" ht="12.75" customHeight="1">
      <c r="B11" s="611"/>
      <c r="C11" s="611"/>
      <c r="D11" s="611"/>
      <c r="E11" s="611"/>
      <c r="F11" s="611"/>
      <c r="G11" s="611"/>
      <c r="H11" s="611"/>
      <c r="I11" s="611"/>
      <c r="M11" s="29"/>
      <c r="N11" s="29"/>
      <c r="O11" s="29"/>
      <c r="P11" s="29"/>
      <c r="Q11" s="29"/>
      <c r="R11" s="29"/>
      <c r="S11" s="29"/>
      <c r="T11" s="29"/>
      <c r="U11" s="29"/>
      <c r="V11" s="29"/>
    </row>
    <row r="12" spans="2:22" s="32" customFormat="1" ht="12.75" customHeight="1">
      <c r="B12" s="611"/>
      <c r="C12" s="611"/>
      <c r="D12" s="611"/>
      <c r="E12" s="611"/>
      <c r="F12" s="611"/>
      <c r="G12" s="611"/>
      <c r="H12" s="611"/>
      <c r="I12" s="611"/>
      <c r="M12" s="29"/>
      <c r="N12" s="29"/>
      <c r="O12" s="29"/>
      <c r="P12" s="29"/>
      <c r="Q12" s="29"/>
      <c r="R12" s="29"/>
      <c r="S12" s="29"/>
      <c r="T12" s="29"/>
      <c r="U12" s="29"/>
      <c r="V12" s="29"/>
    </row>
    <row r="13" spans="2:22">
      <c r="B13" s="611"/>
      <c r="C13" s="611"/>
      <c r="D13" s="611"/>
      <c r="E13" s="611"/>
      <c r="F13" s="611"/>
      <c r="G13" s="611"/>
      <c r="H13" s="611"/>
      <c r="I13" s="611"/>
    </row>
    <row r="14" spans="2:22" ht="12.75" customHeight="1">
      <c r="B14" s="611"/>
      <c r="C14" s="611"/>
      <c r="D14" s="611"/>
      <c r="E14" s="611"/>
      <c r="F14" s="611"/>
      <c r="G14" s="611"/>
      <c r="H14" s="611"/>
      <c r="I14" s="611"/>
    </row>
    <row r="15" spans="2:22" ht="12.75" customHeight="1">
      <c r="B15" s="616" t="s">
        <v>1386</v>
      </c>
      <c r="C15" s="616"/>
      <c r="D15" s="616"/>
      <c r="E15" s="616"/>
      <c r="F15" s="616"/>
      <c r="G15" s="616"/>
      <c r="H15" s="616"/>
      <c r="I15" s="616"/>
    </row>
    <row r="16" spans="2:22" ht="12.75" customHeight="1">
      <c r="B16" s="617" t="s">
        <v>1276</v>
      </c>
      <c r="C16" s="617"/>
      <c r="D16" s="617"/>
      <c r="E16" s="617"/>
      <c r="F16" s="617"/>
      <c r="G16" s="617"/>
      <c r="H16" s="617"/>
      <c r="I16" s="617"/>
    </row>
    <row r="17" spans="2:12" ht="12.75" customHeight="1" thickBot="1">
      <c r="B17" s="45"/>
      <c r="C17" s="45"/>
      <c r="D17" s="46"/>
      <c r="E17" s="46"/>
      <c r="F17" s="45"/>
      <c r="G17" s="46"/>
      <c r="H17" s="45"/>
      <c r="I17" s="45"/>
    </row>
    <row r="18" spans="2:12" ht="12.75" customHeight="1" thickTop="1" thickBot="1">
      <c r="B18" s="605" t="s">
        <v>692</v>
      </c>
      <c r="C18" s="606"/>
      <c r="D18" s="606"/>
      <c r="E18" s="607"/>
      <c r="F18" s="614"/>
      <c r="G18" s="605" t="s">
        <v>694</v>
      </c>
      <c r="H18" s="606"/>
      <c r="I18" s="607"/>
      <c r="K18" s="613" t="s">
        <v>706</v>
      </c>
      <c r="L18" s="613"/>
    </row>
    <row r="19" spans="2:12" ht="12.75" customHeight="1" thickTop="1">
      <c r="B19" s="608"/>
      <c r="C19" s="609"/>
      <c r="D19" s="609"/>
      <c r="E19" s="610"/>
      <c r="F19" s="614"/>
      <c r="G19" s="608"/>
      <c r="H19" s="609"/>
      <c r="I19" s="610"/>
      <c r="K19" s="613"/>
      <c r="L19" s="613"/>
    </row>
    <row r="20" spans="2:12">
      <c r="B20" s="77" t="s">
        <v>1879</v>
      </c>
      <c r="C20" s="110" t="s">
        <v>2392</v>
      </c>
      <c r="D20" s="563" t="str">
        <f>VES_STATUS</f>
        <v>Empty</v>
      </c>
      <c r="E20" s="568" t="s">
        <v>2398</v>
      </c>
      <c r="F20" s="543"/>
      <c r="G20" s="510" t="s">
        <v>1883</v>
      </c>
      <c r="H20" s="622"/>
      <c r="I20" s="623"/>
      <c r="K20" s="71" t="s">
        <v>634</v>
      </c>
      <c r="L20" s="72" t="s">
        <v>2431</v>
      </c>
    </row>
    <row r="21" spans="2:12" ht="13.8" thickBot="1">
      <c r="B21" s="78" t="s">
        <v>9</v>
      </c>
      <c r="C21" s="111" t="s">
        <v>2392</v>
      </c>
      <c r="D21" s="564" t="str">
        <f>VOY_STATUS</f>
        <v>Empty</v>
      </c>
      <c r="E21" s="569" t="s">
        <v>2398</v>
      </c>
      <c r="F21" s="543"/>
      <c r="G21" s="70" t="s">
        <v>693</v>
      </c>
      <c r="H21" s="624">
        <f ca="1">NOW()</f>
        <v>43372.924876504629</v>
      </c>
      <c r="I21" s="625"/>
      <c r="K21" s="73" t="s">
        <v>707</v>
      </c>
      <c r="L21" s="74">
        <v>42787</v>
      </c>
    </row>
    <row r="22" spans="2:12" ht="14.4" thickTop="1" thickBot="1">
      <c r="B22" s="78" t="s">
        <v>74</v>
      </c>
      <c r="C22" s="111" t="s">
        <v>2392</v>
      </c>
      <c r="D22" s="564" t="str">
        <f>WAS_STATUS</f>
        <v>Empty</v>
      </c>
      <c r="E22" s="569" t="s">
        <v>2398</v>
      </c>
      <c r="F22" s="543"/>
      <c r="K22" s="75" t="s">
        <v>708</v>
      </c>
      <c r="L22" s="76" t="s">
        <v>709</v>
      </c>
    </row>
    <row r="23" spans="2:12" ht="13.5" customHeight="1" thickTop="1">
      <c r="B23" s="78" t="s">
        <v>592</v>
      </c>
      <c r="C23" s="111" t="s">
        <v>2392</v>
      </c>
      <c r="D23" s="564" t="str">
        <f>IHZ_STATUS</f>
        <v>Empty</v>
      </c>
      <c r="E23" s="569" t="s">
        <v>2398</v>
      </c>
      <c r="F23" s="543"/>
      <c r="G23" s="626" t="s">
        <v>2389</v>
      </c>
      <c r="H23" s="627"/>
      <c r="I23" s="628"/>
    </row>
    <row r="24" spans="2:12">
      <c r="B24" s="78" t="s">
        <v>591</v>
      </c>
      <c r="C24" s="111" t="s">
        <v>2392</v>
      </c>
      <c r="D24" s="564" t="str">
        <f>OHZ_STATUS</f>
        <v>Empty</v>
      </c>
      <c r="E24" s="569" t="s">
        <v>2398</v>
      </c>
      <c r="F24" s="543"/>
      <c r="G24" s="629"/>
      <c r="H24" s="630"/>
      <c r="I24" s="631"/>
      <c r="K24" s="33" t="s">
        <v>676</v>
      </c>
      <c r="L24" s="35"/>
    </row>
    <row r="25" spans="2:12" ht="13.8" thickBot="1">
      <c r="B25" s="79" t="s">
        <v>75</v>
      </c>
      <c r="C25" s="112" t="s">
        <v>2392</v>
      </c>
      <c r="D25" s="565" t="str">
        <f>SEC_STATUS</f>
        <v>Empty</v>
      </c>
      <c r="E25" s="570" t="s">
        <v>2398</v>
      </c>
      <c r="F25" s="543"/>
      <c r="G25" s="632"/>
      <c r="H25" s="633"/>
      <c r="I25" s="634"/>
      <c r="K25" s="142" t="s">
        <v>675</v>
      </c>
      <c r="L25" s="35"/>
    </row>
    <row r="26" spans="2:12" ht="14.4" thickTop="1" thickBot="1">
      <c r="F26" s="42"/>
      <c r="G26" s="42"/>
      <c r="H26" s="43"/>
      <c r="L26" s="35"/>
    </row>
    <row r="27" spans="2:12" ht="14.4" thickTop="1" thickBot="1">
      <c r="B27" s="618" t="s">
        <v>2395</v>
      </c>
      <c r="C27" s="618"/>
      <c r="D27" s="618"/>
      <c r="E27" s="618"/>
      <c r="F27" s="618"/>
      <c r="G27" s="618"/>
      <c r="H27" s="618"/>
      <c r="I27" s="618"/>
      <c r="K27" s="33" t="s">
        <v>1277</v>
      </c>
      <c r="L27" s="35"/>
    </row>
    <row r="28" spans="2:12" ht="13.8" thickTop="1">
      <c r="B28" s="618"/>
      <c r="C28" s="618"/>
      <c r="D28" s="618"/>
      <c r="E28" s="618"/>
      <c r="F28" s="618"/>
      <c r="G28" s="618"/>
      <c r="H28" s="618"/>
      <c r="I28" s="618"/>
      <c r="K28" s="142" t="s">
        <v>1276</v>
      </c>
      <c r="L28" s="35"/>
    </row>
    <row r="29" spans="2:12" ht="13.5" customHeight="1">
      <c r="B29" s="77" t="s">
        <v>2414</v>
      </c>
      <c r="C29" s="547"/>
      <c r="D29" s="621" t="s">
        <v>2401</v>
      </c>
      <c r="E29" s="621"/>
      <c r="F29" s="621"/>
      <c r="G29" s="619" t="s">
        <v>2397</v>
      </c>
      <c r="H29" s="619"/>
      <c r="I29" s="620"/>
      <c r="L29" s="35"/>
    </row>
    <row r="30" spans="2:12" ht="12.75" customHeight="1">
      <c r="B30" s="602" t="s">
        <v>2415</v>
      </c>
      <c r="C30" s="603"/>
      <c r="D30" s="603"/>
      <c r="E30" s="603"/>
      <c r="F30" s="603"/>
      <c r="G30" s="603"/>
      <c r="H30" s="603"/>
      <c r="I30" s="604"/>
      <c r="K30" s="36" t="s">
        <v>677</v>
      </c>
      <c r="L30" s="35"/>
    </row>
    <row r="31" spans="2:12" ht="12.75" customHeight="1">
      <c r="B31" s="596"/>
      <c r="C31" s="597"/>
      <c r="D31" s="597"/>
      <c r="E31" s="597"/>
      <c r="F31" s="597"/>
      <c r="G31" s="597"/>
      <c r="H31" s="597"/>
      <c r="I31" s="598"/>
      <c r="K31" s="142" t="s">
        <v>705</v>
      </c>
      <c r="L31" s="35"/>
    </row>
    <row r="32" spans="2:12" ht="13.8" thickBot="1">
      <c r="B32" s="599"/>
      <c r="C32" s="600"/>
      <c r="D32" s="600"/>
      <c r="E32" s="600"/>
      <c r="F32" s="600"/>
      <c r="G32" s="600"/>
      <c r="H32" s="600"/>
      <c r="I32" s="601"/>
      <c r="K32" s="34"/>
      <c r="L32" s="35"/>
    </row>
    <row r="33" spans="2:15" ht="14.4" thickTop="1" thickBot="1">
      <c r="B33" s="544"/>
      <c r="C33" s="544"/>
      <c r="D33" s="544"/>
      <c r="E33" s="544"/>
      <c r="F33" s="544"/>
      <c r="G33" s="544"/>
      <c r="H33" s="544"/>
      <c r="I33" s="544"/>
      <c r="K33" s="36" t="s">
        <v>678</v>
      </c>
      <c r="L33" s="35"/>
    </row>
    <row r="34" spans="2:15" ht="13.5" customHeight="1" thickTop="1">
      <c r="B34" s="605" t="s">
        <v>2396</v>
      </c>
      <c r="C34" s="606"/>
      <c r="D34" s="606"/>
      <c r="E34" s="606"/>
      <c r="F34" s="606"/>
      <c r="G34" s="606"/>
      <c r="H34" s="606"/>
      <c r="I34" s="607"/>
      <c r="K34" s="142" t="s">
        <v>679</v>
      </c>
      <c r="L34" s="35"/>
    </row>
    <row r="35" spans="2:15" ht="12.75" customHeight="1">
      <c r="B35" s="608"/>
      <c r="C35" s="609"/>
      <c r="D35" s="609"/>
      <c r="E35" s="609"/>
      <c r="F35" s="609"/>
      <c r="G35" s="609"/>
      <c r="H35" s="609"/>
      <c r="I35" s="610"/>
      <c r="L35" s="35"/>
    </row>
    <row r="36" spans="2:15" ht="12" customHeight="1">
      <c r="B36" s="588" t="s">
        <v>2402</v>
      </c>
      <c r="C36" s="589"/>
      <c r="D36" s="589"/>
      <c r="E36" s="589"/>
      <c r="F36" s="589"/>
      <c r="G36" s="592" t="s">
        <v>2403</v>
      </c>
      <c r="H36" s="589"/>
      <c r="I36" s="593"/>
      <c r="K36" s="38" t="s">
        <v>680</v>
      </c>
      <c r="L36" s="35"/>
    </row>
    <row r="37" spans="2:15">
      <c r="B37" s="588"/>
      <c r="C37" s="589"/>
      <c r="D37" s="589"/>
      <c r="E37" s="589"/>
      <c r="F37" s="589"/>
      <c r="G37" s="592"/>
      <c r="H37" s="589"/>
      <c r="I37" s="593"/>
      <c r="K37" s="143" t="s">
        <v>681</v>
      </c>
      <c r="L37" s="35"/>
    </row>
    <row r="38" spans="2:15">
      <c r="B38" s="588"/>
      <c r="C38" s="589"/>
      <c r="D38" s="589"/>
      <c r="E38" s="589"/>
      <c r="F38" s="589"/>
      <c r="G38" s="592"/>
      <c r="H38" s="589"/>
      <c r="I38" s="593"/>
      <c r="K38" s="37"/>
      <c r="L38" s="35"/>
    </row>
    <row r="39" spans="2:15">
      <c r="B39" s="588"/>
      <c r="C39" s="589"/>
      <c r="D39" s="589"/>
      <c r="E39" s="589"/>
      <c r="F39" s="589"/>
      <c r="G39" s="592"/>
      <c r="H39" s="589"/>
      <c r="I39" s="593"/>
      <c r="K39" s="39" t="s">
        <v>682</v>
      </c>
      <c r="L39" s="35"/>
    </row>
    <row r="40" spans="2:15" ht="13.8" thickBot="1">
      <c r="B40" s="590"/>
      <c r="C40" s="591"/>
      <c r="D40" s="591"/>
      <c r="E40" s="591"/>
      <c r="F40" s="591"/>
      <c r="G40" s="594"/>
      <c r="H40" s="591"/>
      <c r="I40" s="595"/>
      <c r="K40" s="475" t="s">
        <v>1918</v>
      </c>
    </row>
    <row r="41" spans="2:15" ht="13.8" thickTop="1">
      <c r="F41" s="42"/>
      <c r="G41" s="42"/>
      <c r="H41" s="43"/>
      <c r="K41" s="39"/>
    </row>
    <row r="42" spans="2:15" ht="12.75" customHeight="1">
      <c r="B42" s="615" t="s">
        <v>1385</v>
      </c>
      <c r="C42" s="615"/>
      <c r="D42" s="615"/>
      <c r="E42" s="615"/>
      <c r="F42" s="615"/>
      <c r="G42" s="615"/>
      <c r="H42" s="615"/>
      <c r="I42" s="615"/>
      <c r="K42" s="39" t="s">
        <v>683</v>
      </c>
    </row>
    <row r="43" spans="2:15">
      <c r="B43" s="615"/>
      <c r="C43" s="615"/>
      <c r="D43" s="615"/>
      <c r="E43" s="615"/>
      <c r="F43" s="615"/>
      <c r="G43" s="615"/>
      <c r="H43" s="615"/>
      <c r="I43" s="615"/>
      <c r="K43" s="142" t="s">
        <v>687</v>
      </c>
    </row>
    <row r="44" spans="2:15">
      <c r="B44" s="615"/>
      <c r="C44" s="615"/>
      <c r="D44" s="615"/>
      <c r="E44" s="615"/>
      <c r="F44" s="615"/>
      <c r="G44" s="615"/>
      <c r="H44" s="615"/>
      <c r="I44" s="615"/>
    </row>
    <row r="45" spans="2:15">
      <c r="B45" s="615"/>
      <c r="C45" s="615"/>
      <c r="D45" s="615"/>
      <c r="E45" s="615"/>
      <c r="F45" s="615"/>
      <c r="G45" s="615"/>
      <c r="H45" s="615"/>
      <c r="I45" s="615"/>
    </row>
    <row r="46" spans="2:15">
      <c r="B46" s="615"/>
      <c r="C46" s="615"/>
      <c r="D46" s="615"/>
      <c r="E46" s="615"/>
      <c r="F46" s="615"/>
      <c r="G46" s="615"/>
      <c r="H46" s="615"/>
      <c r="I46" s="615"/>
    </row>
    <row r="47" spans="2:15">
      <c r="B47" s="44"/>
      <c r="C47" s="44"/>
      <c r="D47" s="44"/>
      <c r="E47" s="44"/>
      <c r="F47" s="41"/>
      <c r="G47" s="41"/>
      <c r="H47" s="46"/>
      <c r="I47" s="46"/>
    </row>
    <row r="48" spans="2:15" ht="12.75" customHeight="1">
      <c r="B48" s="612" t="s">
        <v>688</v>
      </c>
      <c r="C48" s="612"/>
      <c r="D48" s="612"/>
      <c r="E48" s="612"/>
      <c r="F48" s="612"/>
      <c r="G48" s="612"/>
      <c r="H48" s="612"/>
      <c r="I48" s="612"/>
      <c r="M48" s="37"/>
      <c r="N48" s="37"/>
      <c r="O48" s="37"/>
    </row>
    <row r="49" spans="1:15" ht="14.1" customHeight="1">
      <c r="B49" s="612"/>
      <c r="C49" s="612"/>
      <c r="D49" s="612"/>
      <c r="E49" s="612"/>
      <c r="F49" s="612"/>
      <c r="G49" s="612"/>
      <c r="H49" s="612"/>
      <c r="I49" s="612"/>
      <c r="M49" s="37"/>
      <c r="N49" s="37"/>
      <c r="O49" s="37"/>
    </row>
    <row r="50" spans="1:15" ht="14.1" customHeight="1">
      <c r="B50" s="611" t="s">
        <v>2413</v>
      </c>
      <c r="C50" s="611"/>
      <c r="D50" s="611"/>
      <c r="E50" s="611"/>
      <c r="F50" s="611"/>
      <c r="G50" s="611"/>
      <c r="H50" s="611"/>
      <c r="I50" s="611"/>
      <c r="M50" s="37"/>
      <c r="N50" s="37"/>
      <c r="O50" s="37"/>
    </row>
    <row r="51" spans="1:15">
      <c r="B51" s="611"/>
      <c r="C51" s="611"/>
      <c r="D51" s="611"/>
      <c r="E51" s="611"/>
      <c r="F51" s="611"/>
      <c r="G51" s="611"/>
      <c r="H51" s="611"/>
      <c r="I51" s="611"/>
      <c r="M51" s="37"/>
      <c r="N51" s="37"/>
      <c r="O51" s="37"/>
    </row>
    <row r="52" spans="1:15">
      <c r="B52" s="611"/>
      <c r="C52" s="611"/>
      <c r="D52" s="611"/>
      <c r="E52" s="611"/>
      <c r="F52" s="611"/>
      <c r="G52" s="611"/>
      <c r="H52" s="611"/>
      <c r="I52" s="611"/>
      <c r="J52" s="37"/>
      <c r="M52" s="37"/>
      <c r="N52" s="37"/>
      <c r="O52" s="37"/>
    </row>
    <row r="53" spans="1:15">
      <c r="B53" s="611"/>
      <c r="C53" s="611"/>
      <c r="D53" s="611"/>
      <c r="E53" s="611"/>
      <c r="F53" s="611"/>
      <c r="G53" s="611"/>
      <c r="H53" s="611"/>
      <c r="I53" s="611"/>
      <c r="M53" s="37"/>
      <c r="N53" s="37"/>
      <c r="O53" s="37"/>
    </row>
    <row r="54" spans="1:15">
      <c r="B54" s="611"/>
      <c r="C54" s="611"/>
      <c r="D54" s="611"/>
      <c r="E54" s="611"/>
      <c r="F54" s="611"/>
      <c r="G54" s="611"/>
      <c r="H54" s="611"/>
      <c r="I54" s="611"/>
      <c r="J54" s="37"/>
      <c r="L54" s="37"/>
      <c r="M54" s="37"/>
      <c r="N54" s="37"/>
      <c r="O54" s="37"/>
    </row>
    <row r="55" spans="1:15">
      <c r="B55" s="611"/>
      <c r="C55" s="611"/>
      <c r="D55" s="611"/>
      <c r="E55" s="611"/>
      <c r="F55" s="611"/>
      <c r="G55" s="611"/>
      <c r="H55" s="611"/>
      <c r="I55" s="611"/>
      <c r="J55" s="37"/>
      <c r="L55" s="39"/>
      <c r="M55" s="37"/>
      <c r="N55" s="37"/>
      <c r="O55" s="37"/>
    </row>
    <row r="56" spans="1:15" ht="12.75" customHeight="1">
      <c r="B56" s="611"/>
      <c r="C56" s="611"/>
      <c r="D56" s="611"/>
      <c r="E56" s="611"/>
      <c r="F56" s="611"/>
      <c r="G56" s="611"/>
      <c r="H56" s="611"/>
      <c r="I56" s="611"/>
      <c r="J56" s="37"/>
      <c r="L56" s="39"/>
      <c r="M56" s="37"/>
      <c r="N56" s="37"/>
      <c r="O56" s="37"/>
    </row>
    <row r="57" spans="1:15" ht="13.5" customHeight="1">
      <c r="B57" s="611"/>
      <c r="C57" s="611"/>
      <c r="D57" s="611"/>
      <c r="E57" s="611"/>
      <c r="F57" s="611"/>
      <c r="G57" s="611"/>
      <c r="H57" s="611"/>
      <c r="I57" s="611"/>
      <c r="J57" s="37"/>
      <c r="L57" s="39"/>
      <c r="M57" s="37"/>
      <c r="N57" s="37"/>
      <c r="O57" s="37"/>
    </row>
    <row r="58" spans="1:15">
      <c r="B58" s="611"/>
      <c r="C58" s="611"/>
      <c r="D58" s="611"/>
      <c r="E58" s="611"/>
      <c r="F58" s="611"/>
      <c r="G58" s="611"/>
      <c r="H58" s="611"/>
      <c r="I58" s="611"/>
      <c r="J58" s="37"/>
      <c r="M58" s="37"/>
      <c r="N58" s="37"/>
      <c r="O58" s="37"/>
    </row>
    <row r="59" spans="1:15">
      <c r="B59" s="611"/>
      <c r="C59" s="611"/>
      <c r="D59" s="611"/>
      <c r="E59" s="611"/>
      <c r="F59" s="611"/>
      <c r="G59" s="611"/>
      <c r="H59" s="611"/>
      <c r="I59" s="611"/>
      <c r="J59" s="37"/>
      <c r="L59" s="54"/>
      <c r="M59" s="37"/>
      <c r="N59" s="37"/>
      <c r="O59" s="37"/>
    </row>
    <row r="60" spans="1:15">
      <c r="B60" s="611"/>
      <c r="C60" s="611"/>
      <c r="D60" s="611"/>
      <c r="E60" s="611"/>
      <c r="F60" s="611"/>
      <c r="G60" s="611"/>
      <c r="H60" s="611"/>
      <c r="I60" s="611"/>
      <c r="J60" s="37"/>
      <c r="M60" s="37"/>
      <c r="N60" s="37"/>
      <c r="O60" s="37"/>
    </row>
    <row r="61" spans="1:15">
      <c r="B61" s="611"/>
      <c r="C61" s="611"/>
      <c r="D61" s="611"/>
      <c r="E61" s="611"/>
      <c r="F61" s="611"/>
      <c r="G61" s="611"/>
      <c r="H61" s="611"/>
      <c r="I61" s="611"/>
      <c r="J61" s="37"/>
      <c r="M61" s="37"/>
      <c r="N61" s="37"/>
      <c r="O61" s="37"/>
    </row>
    <row r="62" spans="1:15">
      <c r="B62" s="611"/>
      <c r="C62" s="611"/>
      <c r="D62" s="611"/>
      <c r="E62" s="611"/>
      <c r="F62" s="611"/>
      <c r="G62" s="611"/>
      <c r="H62" s="611"/>
      <c r="I62" s="611"/>
      <c r="J62" s="37"/>
      <c r="M62" s="37"/>
      <c r="N62" s="37"/>
      <c r="O62" s="37"/>
    </row>
    <row r="63" spans="1:15">
      <c r="A63" s="40"/>
      <c r="B63" s="611"/>
      <c r="C63" s="611"/>
      <c r="D63" s="611"/>
      <c r="E63" s="611"/>
      <c r="F63" s="611"/>
      <c r="G63" s="611"/>
      <c r="H63" s="611"/>
      <c r="I63" s="611"/>
      <c r="J63" s="37"/>
      <c r="M63" s="40"/>
      <c r="N63" s="40"/>
      <c r="O63" s="40"/>
    </row>
    <row r="64" spans="1:15">
      <c r="A64" s="40"/>
      <c r="B64" s="611"/>
      <c r="C64" s="611"/>
      <c r="D64" s="611"/>
      <c r="E64" s="611"/>
      <c r="F64" s="611"/>
      <c r="G64" s="611"/>
      <c r="H64" s="611"/>
      <c r="I64" s="611"/>
      <c r="J64" s="37"/>
      <c r="M64" s="40"/>
      <c r="N64" s="40"/>
      <c r="O64" s="40"/>
    </row>
    <row r="65" spans="2:15">
      <c r="B65" s="611"/>
      <c r="C65" s="611"/>
      <c r="D65" s="611"/>
      <c r="E65" s="611"/>
      <c r="F65" s="611"/>
      <c r="G65" s="611"/>
      <c r="H65" s="611"/>
      <c r="I65" s="611"/>
      <c r="J65" s="37"/>
      <c r="M65" s="37"/>
      <c r="N65" s="37"/>
      <c r="O65" s="37"/>
    </row>
    <row r="66" spans="2:15">
      <c r="B66" s="611"/>
      <c r="C66" s="611"/>
      <c r="D66" s="611"/>
      <c r="E66" s="611"/>
      <c r="F66" s="611"/>
      <c r="G66" s="611"/>
      <c r="H66" s="611"/>
      <c r="I66" s="611"/>
      <c r="J66" s="37"/>
      <c r="M66" s="37"/>
      <c r="N66" s="37"/>
      <c r="O66" s="37"/>
    </row>
    <row r="67" spans="2:15">
      <c r="B67" s="611"/>
      <c r="C67" s="611"/>
      <c r="D67" s="611"/>
      <c r="E67" s="611"/>
      <c r="F67" s="611"/>
      <c r="G67" s="611"/>
      <c r="H67" s="611"/>
      <c r="I67" s="611"/>
      <c r="J67" s="37"/>
      <c r="M67" s="37"/>
      <c r="N67" s="37"/>
      <c r="O67" s="37"/>
    </row>
    <row r="68" spans="2:15">
      <c r="B68" s="611"/>
      <c r="C68" s="611"/>
      <c r="D68" s="611"/>
      <c r="E68" s="611"/>
      <c r="F68" s="611"/>
      <c r="G68" s="611"/>
      <c r="H68" s="611"/>
      <c r="I68" s="611"/>
      <c r="J68" s="37"/>
      <c r="M68" s="37"/>
      <c r="N68" s="37"/>
      <c r="O68" s="37"/>
    </row>
    <row r="69" spans="2:15">
      <c r="B69" s="611"/>
      <c r="C69" s="611"/>
      <c r="D69" s="611"/>
      <c r="E69" s="611"/>
      <c r="F69" s="611"/>
      <c r="G69" s="611"/>
      <c r="H69" s="611"/>
      <c r="I69" s="611"/>
      <c r="J69" s="40"/>
      <c r="M69" s="37"/>
      <c r="N69" s="37"/>
      <c r="O69" s="37"/>
    </row>
    <row r="70" spans="2:15">
      <c r="B70" s="611"/>
      <c r="C70" s="611"/>
      <c r="D70" s="611"/>
      <c r="E70" s="611"/>
      <c r="F70" s="611"/>
      <c r="G70" s="611"/>
      <c r="H70" s="611"/>
      <c r="I70" s="611"/>
      <c r="J70" s="40"/>
      <c r="K70" s="37"/>
      <c r="L70" s="37"/>
      <c r="M70" s="37"/>
      <c r="N70" s="37"/>
      <c r="O70" s="37"/>
    </row>
    <row r="71" spans="2:15">
      <c r="B71" s="611"/>
      <c r="C71" s="611"/>
      <c r="D71" s="611"/>
      <c r="E71" s="611"/>
      <c r="F71" s="611"/>
      <c r="G71" s="611"/>
      <c r="H71" s="611"/>
      <c r="I71" s="611"/>
      <c r="J71" s="37"/>
      <c r="K71" s="37"/>
      <c r="L71" s="37"/>
      <c r="M71" s="37"/>
      <c r="N71" s="37"/>
      <c r="O71" s="37"/>
    </row>
    <row r="72" spans="2:15">
      <c r="B72" s="611"/>
      <c r="C72" s="611"/>
      <c r="D72" s="611"/>
      <c r="E72" s="611"/>
      <c r="F72" s="611"/>
      <c r="G72" s="611"/>
      <c r="H72" s="611"/>
      <c r="I72" s="611"/>
      <c r="J72" s="37"/>
      <c r="K72" s="37"/>
      <c r="L72" s="37"/>
      <c r="M72" s="37"/>
      <c r="N72" s="37"/>
      <c r="O72" s="37"/>
    </row>
    <row r="73" spans="2:15">
      <c r="B73" s="611"/>
      <c r="C73" s="611"/>
      <c r="D73" s="611"/>
      <c r="E73" s="611"/>
      <c r="F73" s="611"/>
      <c r="G73" s="611"/>
      <c r="H73" s="611"/>
      <c r="I73" s="611"/>
      <c r="J73" s="37"/>
      <c r="K73" s="37"/>
      <c r="L73" s="37"/>
      <c r="M73" s="37"/>
      <c r="N73" s="37"/>
      <c r="O73" s="37"/>
    </row>
    <row r="74" spans="2:15">
      <c r="B74" s="611"/>
      <c r="C74" s="611"/>
      <c r="D74" s="611"/>
      <c r="E74" s="611"/>
      <c r="F74" s="611"/>
      <c r="G74" s="611"/>
      <c r="H74" s="611"/>
      <c r="I74" s="611"/>
      <c r="J74" s="37"/>
      <c r="K74" s="37"/>
      <c r="L74" s="37"/>
      <c r="M74" s="37"/>
      <c r="N74" s="37"/>
      <c r="O74" s="37"/>
    </row>
    <row r="75" spans="2:15">
      <c r="B75" s="611"/>
      <c r="C75" s="611"/>
      <c r="D75" s="611"/>
      <c r="E75" s="611"/>
      <c r="F75" s="611"/>
      <c r="G75" s="611"/>
      <c r="H75" s="611"/>
      <c r="I75" s="611"/>
      <c r="J75" s="37"/>
      <c r="K75" s="37"/>
      <c r="L75" s="37"/>
      <c r="M75" s="37"/>
      <c r="N75" s="37"/>
      <c r="O75" s="37"/>
    </row>
    <row r="76" spans="2:15">
      <c r="B76" s="611"/>
      <c r="C76" s="611"/>
      <c r="D76" s="611"/>
      <c r="E76" s="611"/>
      <c r="F76" s="611"/>
      <c r="G76" s="611"/>
      <c r="H76" s="611"/>
      <c r="I76" s="611"/>
      <c r="J76" s="37"/>
      <c r="K76" s="37"/>
      <c r="L76" s="37"/>
      <c r="M76" s="37"/>
      <c r="N76" s="37"/>
      <c r="O76" s="37"/>
    </row>
    <row r="77" spans="2:15">
      <c r="B77" s="611"/>
      <c r="C77" s="611"/>
      <c r="D77" s="611"/>
      <c r="E77" s="611"/>
      <c r="F77" s="611"/>
      <c r="G77" s="611"/>
      <c r="H77" s="611"/>
      <c r="I77" s="611"/>
      <c r="J77" s="37"/>
      <c r="K77" s="37"/>
      <c r="L77" s="37"/>
      <c r="M77" s="37"/>
      <c r="N77" s="37"/>
      <c r="O77" s="37"/>
    </row>
    <row r="78" spans="2:15">
      <c r="B78" s="611"/>
      <c r="C78" s="611"/>
      <c r="D78" s="611"/>
      <c r="E78" s="611"/>
      <c r="F78" s="611"/>
      <c r="G78" s="611"/>
      <c r="H78" s="611"/>
      <c r="I78" s="611"/>
      <c r="J78" s="37"/>
      <c r="K78" s="37"/>
      <c r="L78" s="37"/>
      <c r="M78" s="37"/>
      <c r="N78" s="37"/>
      <c r="O78" s="37"/>
    </row>
    <row r="79" spans="2:15">
      <c r="B79" s="611"/>
      <c r="C79" s="611"/>
      <c r="D79" s="611"/>
      <c r="E79" s="611"/>
      <c r="F79" s="611"/>
      <c r="G79" s="611"/>
      <c r="H79" s="611"/>
      <c r="I79" s="611"/>
      <c r="J79" s="37"/>
      <c r="K79" s="37"/>
      <c r="L79" s="37"/>
      <c r="M79" s="37"/>
      <c r="N79" s="37"/>
      <c r="O79" s="37"/>
    </row>
    <row r="80" spans="2:15">
      <c r="B80" s="611"/>
      <c r="C80" s="611"/>
      <c r="D80" s="611"/>
      <c r="E80" s="611"/>
      <c r="F80" s="611"/>
      <c r="G80" s="611"/>
      <c r="H80" s="611"/>
      <c r="I80" s="611"/>
      <c r="J80" s="37"/>
      <c r="K80" s="37"/>
      <c r="L80" s="37"/>
      <c r="M80" s="37"/>
      <c r="N80" s="37"/>
      <c r="O80" s="37"/>
    </row>
    <row r="81" spans="2:15">
      <c r="B81" s="611"/>
      <c r="C81" s="611"/>
      <c r="D81" s="611"/>
      <c r="E81" s="611"/>
      <c r="F81" s="611"/>
      <c r="G81" s="611"/>
      <c r="H81" s="611"/>
      <c r="I81" s="611"/>
      <c r="J81" s="37"/>
      <c r="L81" s="37"/>
      <c r="M81" s="37"/>
      <c r="N81" s="37"/>
      <c r="O81" s="37"/>
    </row>
    <row r="82" spans="2:15">
      <c r="B82" s="611"/>
      <c r="C82" s="611"/>
      <c r="D82" s="611"/>
      <c r="E82" s="611"/>
      <c r="F82" s="611"/>
      <c r="G82" s="611"/>
      <c r="H82" s="611"/>
      <c r="I82" s="611"/>
      <c r="J82" s="37"/>
      <c r="L82" s="37"/>
      <c r="M82" s="37"/>
      <c r="N82" s="37"/>
      <c r="O82" s="37"/>
    </row>
    <row r="83" spans="2:15">
      <c r="B83" s="611"/>
      <c r="C83" s="611"/>
      <c r="D83" s="611"/>
      <c r="E83" s="611"/>
      <c r="F83" s="611"/>
      <c r="G83" s="611"/>
      <c r="H83" s="611"/>
      <c r="I83" s="611"/>
      <c r="J83" s="37"/>
      <c r="L83" s="37"/>
      <c r="M83" s="37"/>
      <c r="N83" s="37"/>
      <c r="O83" s="37"/>
    </row>
    <row r="84" spans="2:15">
      <c r="B84" s="611"/>
      <c r="C84" s="611"/>
      <c r="D84" s="611"/>
      <c r="E84" s="611"/>
      <c r="F84" s="611"/>
      <c r="G84" s="611"/>
      <c r="H84" s="611"/>
      <c r="I84" s="611"/>
      <c r="J84" s="37"/>
      <c r="L84" s="37"/>
      <c r="M84" s="37"/>
      <c r="N84" s="37"/>
      <c r="O84" s="37"/>
    </row>
    <row r="85" spans="2:15">
      <c r="B85" s="611"/>
      <c r="C85" s="611"/>
      <c r="D85" s="611"/>
      <c r="E85" s="611"/>
      <c r="F85" s="611"/>
      <c r="G85" s="611"/>
      <c r="H85" s="611"/>
      <c r="I85" s="611"/>
      <c r="J85" s="37"/>
      <c r="L85" s="37"/>
      <c r="M85" s="37"/>
      <c r="N85" s="37"/>
      <c r="O85" s="37"/>
    </row>
    <row r="86" spans="2:15">
      <c r="B86" s="611"/>
      <c r="C86" s="611"/>
      <c r="D86" s="611"/>
      <c r="E86" s="611"/>
      <c r="F86" s="611"/>
      <c r="G86" s="611"/>
      <c r="H86" s="611"/>
      <c r="I86" s="611"/>
      <c r="J86" s="37"/>
      <c r="M86" s="37"/>
      <c r="N86" s="37"/>
      <c r="O86" s="37"/>
    </row>
    <row r="87" spans="2:15">
      <c r="B87" s="611"/>
      <c r="C87" s="611"/>
      <c r="D87" s="611"/>
      <c r="E87" s="611"/>
      <c r="F87" s="611"/>
      <c r="G87" s="611"/>
      <c r="H87" s="611"/>
      <c r="I87" s="611"/>
      <c r="J87" s="37"/>
      <c r="M87" s="37"/>
      <c r="N87" s="37"/>
      <c r="O87" s="37"/>
    </row>
    <row r="88" spans="2:15">
      <c r="B88" s="611"/>
      <c r="C88" s="611"/>
      <c r="D88" s="611"/>
      <c r="E88" s="611"/>
      <c r="F88" s="611"/>
      <c r="G88" s="611"/>
      <c r="H88" s="611"/>
      <c r="I88" s="611"/>
      <c r="J88" s="37"/>
    </row>
    <row r="89" spans="2:15">
      <c r="B89" s="611"/>
      <c r="C89" s="611"/>
      <c r="D89" s="611"/>
      <c r="E89" s="611"/>
      <c r="F89" s="611"/>
      <c r="G89" s="611"/>
      <c r="H89" s="611"/>
      <c r="I89" s="611"/>
      <c r="J89" s="37"/>
    </row>
    <row r="90" spans="2:15">
      <c r="B90" s="611"/>
      <c r="C90" s="611"/>
      <c r="D90" s="611"/>
      <c r="E90" s="611"/>
      <c r="F90" s="611"/>
      <c r="G90" s="611"/>
      <c r="H90" s="611"/>
      <c r="I90" s="611"/>
      <c r="J90" s="37"/>
    </row>
    <row r="91" spans="2:15">
      <c r="B91" s="611"/>
      <c r="C91" s="611"/>
      <c r="D91" s="611"/>
      <c r="E91" s="611"/>
      <c r="F91" s="611"/>
      <c r="G91" s="611"/>
      <c r="H91" s="611"/>
      <c r="I91" s="611"/>
      <c r="J91" s="37"/>
    </row>
    <row r="92" spans="2:15">
      <c r="B92" s="611"/>
      <c r="C92" s="611"/>
      <c r="D92" s="611"/>
      <c r="E92" s="611"/>
      <c r="F92" s="611"/>
      <c r="G92" s="611"/>
      <c r="H92" s="611"/>
      <c r="I92" s="611"/>
      <c r="J92" s="37"/>
    </row>
    <row r="93" spans="2:15">
      <c r="B93" s="611"/>
      <c r="C93" s="611"/>
      <c r="D93" s="611"/>
      <c r="E93" s="611"/>
      <c r="F93" s="611"/>
      <c r="G93" s="611"/>
      <c r="H93" s="611"/>
      <c r="I93" s="611"/>
      <c r="J93" s="37"/>
    </row>
    <row r="94" spans="2:15">
      <c r="B94" s="611"/>
      <c r="C94" s="611"/>
      <c r="D94" s="611"/>
      <c r="E94" s="611"/>
      <c r="F94" s="611"/>
      <c r="G94" s="611"/>
      <c r="H94" s="611"/>
      <c r="I94" s="611"/>
    </row>
    <row r="95" spans="2:15">
      <c r="B95" s="611"/>
      <c r="C95" s="611"/>
      <c r="D95" s="611"/>
      <c r="E95" s="611"/>
      <c r="F95" s="611"/>
      <c r="G95" s="611"/>
      <c r="H95" s="611"/>
      <c r="I95" s="611"/>
    </row>
    <row r="96" spans="2:15">
      <c r="B96" s="611"/>
      <c r="C96" s="611"/>
      <c r="D96" s="611"/>
      <c r="E96" s="611"/>
      <c r="F96" s="611"/>
      <c r="G96" s="611"/>
      <c r="H96" s="611"/>
      <c r="I96" s="611"/>
    </row>
    <row r="97" spans="2:9">
      <c r="B97" s="611"/>
      <c r="C97" s="611"/>
      <c r="D97" s="611"/>
      <c r="E97" s="611"/>
      <c r="F97" s="611"/>
      <c r="G97" s="611"/>
      <c r="H97" s="611"/>
      <c r="I97" s="611"/>
    </row>
    <row r="98" spans="2:9">
      <c r="B98" s="611"/>
      <c r="C98" s="611"/>
      <c r="D98" s="611"/>
      <c r="E98" s="611"/>
      <c r="F98" s="611"/>
      <c r="G98" s="611"/>
      <c r="H98" s="611"/>
      <c r="I98" s="611"/>
    </row>
    <row r="99" spans="2:9">
      <c r="B99" s="611"/>
      <c r="C99" s="611"/>
      <c r="D99" s="611"/>
      <c r="E99" s="611"/>
      <c r="F99" s="611"/>
      <c r="G99" s="611"/>
      <c r="H99" s="611"/>
      <c r="I99" s="611"/>
    </row>
    <row r="100" spans="2:9">
      <c r="B100" s="611"/>
      <c r="C100" s="611"/>
      <c r="D100" s="611"/>
      <c r="E100" s="611"/>
      <c r="F100" s="611"/>
      <c r="G100" s="611"/>
      <c r="H100" s="611"/>
      <c r="I100" s="611"/>
    </row>
    <row r="101" spans="2:9">
      <c r="B101" s="611"/>
      <c r="C101" s="611"/>
      <c r="D101" s="611"/>
      <c r="E101" s="611"/>
      <c r="F101" s="611"/>
      <c r="G101" s="611"/>
      <c r="H101" s="611"/>
      <c r="I101" s="611"/>
    </row>
    <row r="102" spans="2:9">
      <c r="B102" s="611"/>
      <c r="C102" s="611"/>
      <c r="D102" s="611"/>
      <c r="E102" s="611"/>
      <c r="F102" s="611"/>
      <c r="G102" s="611"/>
      <c r="H102" s="611"/>
      <c r="I102" s="611"/>
    </row>
    <row r="103" spans="2:9">
      <c r="B103" s="611"/>
      <c r="C103" s="611"/>
      <c r="D103" s="611"/>
      <c r="E103" s="611"/>
      <c r="F103" s="611"/>
      <c r="G103" s="611"/>
      <c r="H103" s="611"/>
      <c r="I103" s="611"/>
    </row>
    <row r="104" spans="2:9">
      <c r="B104" s="611"/>
      <c r="C104" s="611"/>
      <c r="D104" s="611"/>
      <c r="E104" s="611"/>
      <c r="F104" s="611"/>
      <c r="G104" s="611"/>
      <c r="H104" s="611"/>
      <c r="I104" s="611"/>
    </row>
    <row r="105" spans="2:9">
      <c r="B105" s="611"/>
      <c r="C105" s="611"/>
      <c r="D105" s="611"/>
      <c r="E105" s="611"/>
      <c r="F105" s="611"/>
      <c r="G105" s="611"/>
      <c r="H105" s="611"/>
      <c r="I105" s="611"/>
    </row>
    <row r="106" spans="2:9">
      <c r="B106" s="611"/>
      <c r="C106" s="611"/>
      <c r="D106" s="611"/>
      <c r="E106" s="611"/>
      <c r="F106" s="611"/>
      <c r="G106" s="611"/>
      <c r="H106" s="611"/>
      <c r="I106" s="611"/>
    </row>
    <row r="107" spans="2:9">
      <c r="B107" s="611"/>
      <c r="C107" s="611"/>
      <c r="D107" s="611"/>
      <c r="E107" s="611"/>
      <c r="F107" s="611"/>
      <c r="G107" s="611"/>
      <c r="H107" s="611"/>
      <c r="I107" s="611"/>
    </row>
    <row r="108" spans="2:9">
      <c r="B108" s="611"/>
      <c r="C108" s="611"/>
      <c r="D108" s="611"/>
      <c r="E108" s="611"/>
      <c r="F108" s="611"/>
      <c r="G108" s="611"/>
      <c r="H108" s="611"/>
      <c r="I108" s="611"/>
    </row>
    <row r="109" spans="2:9">
      <c r="B109" s="611"/>
      <c r="C109" s="611"/>
      <c r="D109" s="611"/>
      <c r="E109" s="611"/>
      <c r="F109" s="611"/>
      <c r="G109" s="611"/>
      <c r="H109" s="611"/>
      <c r="I109" s="611"/>
    </row>
    <row r="110" spans="2:9">
      <c r="B110" s="611"/>
      <c r="C110" s="611"/>
      <c r="D110" s="611"/>
      <c r="E110" s="611"/>
      <c r="F110" s="611"/>
      <c r="G110" s="611"/>
      <c r="H110" s="611"/>
      <c r="I110" s="611"/>
    </row>
    <row r="111" spans="2:9">
      <c r="B111" s="611"/>
      <c r="C111" s="611"/>
      <c r="D111" s="611"/>
      <c r="E111" s="611"/>
      <c r="F111" s="611"/>
      <c r="G111" s="611"/>
      <c r="H111" s="611"/>
      <c r="I111" s="611"/>
    </row>
    <row r="112" spans="2:9">
      <c r="B112" s="611"/>
      <c r="C112" s="611"/>
      <c r="D112" s="611"/>
      <c r="E112" s="611"/>
      <c r="F112" s="611"/>
      <c r="G112" s="611"/>
      <c r="H112" s="611"/>
      <c r="I112" s="611"/>
    </row>
    <row r="113" spans="2:9">
      <c r="B113" s="611"/>
      <c r="C113" s="611"/>
      <c r="D113" s="611"/>
      <c r="E113" s="611"/>
      <c r="F113" s="611"/>
      <c r="G113" s="611"/>
      <c r="H113" s="611"/>
      <c r="I113" s="611"/>
    </row>
    <row r="114" spans="2:9">
      <c r="B114" s="611"/>
      <c r="C114" s="611"/>
      <c r="D114" s="611"/>
      <c r="E114" s="611"/>
      <c r="F114" s="611"/>
      <c r="G114" s="611"/>
      <c r="H114" s="611"/>
      <c r="I114" s="611"/>
    </row>
    <row r="115" spans="2:9">
      <c r="B115" s="611"/>
      <c r="C115" s="611"/>
      <c r="D115" s="611"/>
      <c r="E115" s="611"/>
      <c r="F115" s="611"/>
      <c r="G115" s="611"/>
      <c r="H115" s="611"/>
      <c r="I115" s="611"/>
    </row>
    <row r="116" spans="2:9">
      <c r="B116" s="611"/>
      <c r="C116" s="611"/>
      <c r="D116" s="611"/>
      <c r="E116" s="611"/>
      <c r="F116" s="611"/>
      <c r="G116" s="611"/>
      <c r="H116" s="611"/>
      <c r="I116" s="611"/>
    </row>
    <row r="117" spans="2:9" hidden="1">
      <c r="B117" s="548" t="s">
        <v>2405</v>
      </c>
      <c r="C117" s="587" t="s">
        <v>2432</v>
      </c>
      <c r="D117" s="167"/>
      <c r="E117" s="167"/>
      <c r="F117" s="167"/>
      <c r="G117" s="167"/>
      <c r="H117" s="167"/>
      <c r="I117" s="167"/>
    </row>
    <row r="118" spans="2:9">
      <c r="B118" s="167"/>
      <c r="C118" s="167"/>
      <c r="D118" s="167"/>
      <c r="E118" s="167"/>
      <c r="F118" s="167"/>
      <c r="G118" s="167"/>
      <c r="H118" s="167"/>
      <c r="I118" s="167"/>
    </row>
    <row r="119" spans="2:9">
      <c r="B119" s="167"/>
      <c r="C119" s="167"/>
      <c r="D119" s="167"/>
      <c r="E119" s="167"/>
      <c r="F119" s="167"/>
      <c r="G119" s="167"/>
      <c r="H119" s="167"/>
      <c r="I119" s="167"/>
    </row>
    <row r="120" spans="2:9">
      <c r="B120" s="167"/>
      <c r="C120" s="167"/>
      <c r="D120" s="167"/>
      <c r="E120" s="167"/>
      <c r="F120" s="167"/>
      <c r="G120" s="167"/>
      <c r="H120" s="167"/>
      <c r="I120" s="167"/>
    </row>
    <row r="121" spans="2:9">
      <c r="B121" s="167"/>
      <c r="C121" s="167"/>
      <c r="D121" s="167"/>
      <c r="E121" s="167"/>
      <c r="F121" s="167"/>
      <c r="G121" s="167"/>
      <c r="H121" s="167"/>
      <c r="I121" s="167"/>
    </row>
  </sheetData>
  <sheetProtection algorithmName="SHA-512" hashValue="av8tCrIh4Y4cajSFq5ztIWv32YFQB7sGJBh5u39Hz9CIixrspnAW7PygnXM/i9gWvm3AaBIMBNDLetOEvk8f0Q==" saltValue="uwAjG2OamNpILGKx+Hcxvw==" spinCount="100000" sheet="1" formatCells="0" formatColumns="0" formatRows="0" selectLockedCells="1"/>
  <mergeCells count="21">
    <mergeCell ref="B50:I116"/>
    <mergeCell ref="B48:I49"/>
    <mergeCell ref="K18:L19"/>
    <mergeCell ref="B5:I14"/>
    <mergeCell ref="F18:F19"/>
    <mergeCell ref="B42:I46"/>
    <mergeCell ref="B15:I15"/>
    <mergeCell ref="B16:I16"/>
    <mergeCell ref="B18:E19"/>
    <mergeCell ref="B27:I28"/>
    <mergeCell ref="G29:I29"/>
    <mergeCell ref="D29:F29"/>
    <mergeCell ref="G18:I19"/>
    <mergeCell ref="H20:I20"/>
    <mergeCell ref="H21:I21"/>
    <mergeCell ref="G23:I25"/>
    <mergeCell ref="B36:F40"/>
    <mergeCell ref="G36:I40"/>
    <mergeCell ref="B31:I32"/>
    <mergeCell ref="B30:I30"/>
    <mergeCell ref="B34:I35"/>
  </mergeCells>
  <conditionalFormatting sqref="F18">
    <cfRule type="containsText" dxfId="153" priority="43" operator="containsText" text="Off">
      <formula>NOT(ISERROR(SEARCH("Off",F18)))</formula>
    </cfRule>
    <cfRule type="containsText" dxfId="152" priority="44" operator="containsText" text="On">
      <formula>NOT(ISERROR(SEARCH("On",F18)))</formula>
    </cfRule>
  </conditionalFormatting>
  <conditionalFormatting sqref="J52 J54:J67">
    <cfRule type="containsText" dxfId="151" priority="39" operator="containsText" text="Off">
      <formula>NOT(ISERROR(SEARCH("Off",J52)))</formula>
    </cfRule>
    <cfRule type="containsText" dxfId="150" priority="40" operator="containsText" text="On">
      <formula>NOT(ISERROR(SEARCH("On",J52)))</formula>
    </cfRule>
  </conditionalFormatting>
  <conditionalFormatting sqref="B48">
    <cfRule type="expression" dxfId="149" priority="23">
      <formula>$C49="On"</formula>
    </cfRule>
    <cfRule type="expression" dxfId="148" priority="24">
      <formula>$C49="Off"</formula>
    </cfRule>
  </conditionalFormatting>
  <conditionalFormatting sqref="K20">
    <cfRule type="expression" dxfId="147" priority="95">
      <formula>$K21="On"</formula>
    </cfRule>
    <cfRule type="expression" dxfId="146" priority="96">
      <formula>$K21="Off"</formula>
    </cfRule>
  </conditionalFormatting>
  <conditionalFormatting sqref="C20:C25">
    <cfRule type="expression" dxfId="145" priority="5">
      <formula>AND(C20="Include",D20="Valid")</formula>
    </cfRule>
    <cfRule type="expression" dxfId="144" priority="6">
      <formula>AND(D20="Empty",C20="Include")</formula>
    </cfRule>
    <cfRule type="expression" dxfId="143" priority="11">
      <formula>AND(C20="Include", E20="Upload anyway")</formula>
    </cfRule>
    <cfRule type="expression" dxfId="142" priority="16">
      <formula>AND(C20="Include",D20="Invalid")</formula>
    </cfRule>
  </conditionalFormatting>
  <conditionalFormatting sqref="F20:F25">
    <cfRule type="expression" dxfId="141" priority="14">
      <formula>$E20="Unprocessable"</formula>
    </cfRule>
  </conditionalFormatting>
  <conditionalFormatting sqref="G18 B18">
    <cfRule type="expression" dxfId="140" priority="629">
      <formula>$H18="On"</formula>
    </cfRule>
    <cfRule type="expression" dxfId="139" priority="630">
      <formula>$H18="Off"</formula>
    </cfRule>
  </conditionalFormatting>
  <conditionalFormatting sqref="B34">
    <cfRule type="expression" dxfId="138" priority="631">
      <formula>$C34="On"</formula>
    </cfRule>
    <cfRule type="expression" dxfId="137" priority="632">
      <formula>$C34="Off"</formula>
    </cfRule>
  </conditionalFormatting>
  <conditionalFormatting sqref="D20:D25">
    <cfRule type="expression" dxfId="136" priority="1">
      <formula>D20="Empty"</formula>
    </cfRule>
    <cfRule type="expression" dxfId="135" priority="2">
      <formula>AND(C20="Include",D20="Valid")</formula>
    </cfRule>
    <cfRule type="expression" dxfId="134" priority="3">
      <formula>AND(D20="Invalid",E20="Upload anyway")</formula>
    </cfRule>
    <cfRule type="expression" dxfId="133" priority="4">
      <formula>D20="Invalid"</formula>
    </cfRule>
    <cfRule type="expression" dxfId="132" priority="15">
      <formula>$D20="Invalid"</formula>
    </cfRule>
  </conditionalFormatting>
  <conditionalFormatting sqref="E20:E25">
    <cfRule type="expression" dxfId="131" priority="8">
      <formula>AND(E20="Upload anyway",SUM_OVE_VALID&lt;&gt;"Allow invalid sheet upload")</formula>
    </cfRule>
    <cfRule type="expression" dxfId="130" priority="9">
      <formula>E20="Ignore if invalid"</formula>
    </cfRule>
    <cfRule type="expression" dxfId="129" priority="10">
      <formula>E20="Upload anyway"</formula>
    </cfRule>
  </conditionalFormatting>
  <conditionalFormatting sqref="D29:F29">
    <cfRule type="expression" dxfId="128" priority="7">
      <formula>AND(LEN(SUM_OVR_RES)&lt;50,SUM_OVE_VALID="Allow invalid sheet upload")</formula>
    </cfRule>
  </conditionalFormatting>
  <dataValidations count="6">
    <dataValidation allowBlank="1" sqref="N19:O19 K24:K25 K38:K39 L22 B42 K20:K21 M18:O18 B47:B48 J48:J77 L14:L17 F47:G47 K27:K28 L54 O14:P17 K35 P22:P51 A14:A53 M20:O71"/>
    <dataValidation type="list" allowBlank="1" showInputMessage="1" showErrorMessage="1" error="Select from dropdown" sqref="C20:C25">
      <formula1>"Include, Don't include"</formula1>
    </dataValidation>
    <dataValidation type="date" allowBlank="1" sqref="L21">
      <formula1>42370</formula1>
      <formula2>73051</formula2>
    </dataValidation>
    <dataValidation allowBlank="1" showInputMessage="1" showErrorMessage="1" errorTitle="Error" error="Invalid date" promptTitle="Date time format" prompt="dd/mm/yyyy hh:mm _x000a_(24 hour format)" sqref="H21"/>
    <dataValidation type="textLength" allowBlank="1" showInputMessage="1" showErrorMessage="1" errorTitle="Data Provider" error="Must be between 3 and 32 characters" promptTitle="Data Provider" prompt="The person or entity completing or responsible for the data" sqref="H20">
      <formula1>3</formula1>
      <formula2>32</formula2>
    </dataValidation>
    <dataValidation type="textLength" allowBlank="1" showInputMessage="1" showErrorMessage="1" error="Must be between 50 and 1000 characters" promptTitle="Validation override reason" prompt="The reason that the workbook is not valid, but should be accepted anyway" sqref="B31:I32">
      <formula1>50</formula1>
      <formula2>1000</formula2>
    </dataValidation>
  </dataValidations>
  <hyperlinks>
    <hyperlink ref="K25" r:id="rId1"/>
    <hyperlink ref="K31" r:id="rId2"/>
    <hyperlink ref="K34" r:id="rId3"/>
    <hyperlink ref="K43" r:id="rId4"/>
    <hyperlink ref="K37" r:id="rId5"/>
    <hyperlink ref="B16" r:id="rId6"/>
  </hyperlinks>
  <pageMargins left="0.23622047244094488" right="0.23622047244094488" top="0.39370078740157483" bottom="0.39370078740157483" header="0.31496062992125984" footer="0.31496062992125984"/>
  <pageSetup paperSize="9" scale="84" fitToHeight="0" orientation="landscape" r:id="rId7"/>
  <drawing r:id="rId8"/>
  <extLst>
    <ext xmlns:x14="http://schemas.microsoft.com/office/spreadsheetml/2009/9/main" uri="{CCE6A557-97BC-4b89-ADB6-D9C93CAAB3DF}">
      <x14:dataValidations xmlns:xm="http://schemas.microsoft.com/office/excel/2006/main" count="2">
        <x14:dataValidation type="list" showInputMessage="1" showErrorMessage="1" error="Select from dropdown">
          <x14:formula1>
            <xm:f>OFFSET('Tmp data'!$C$6,0,0,2-COUNTBLANK(TMP_SUM_WRITEVALID),1)</xm:f>
          </x14:formula1>
          <xm:sqref>E20:E25</xm:sqref>
        </x14:dataValidation>
        <x14:dataValidation type="list" showInputMessage="1" showErrorMessage="1" error="Select from dropdown">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9"/>
  <sheetViews>
    <sheetView zoomScale="85" zoomScaleNormal="85" workbookViewId="0">
      <selection activeCell="C14" sqref="C14"/>
    </sheetView>
  </sheetViews>
  <sheetFormatPr defaultRowHeight="13.2"/>
  <cols>
    <col min="1" max="1" width="3.44140625" style="52" customWidth="1"/>
    <col min="2" max="2" width="31.88671875" customWidth="1"/>
    <col min="3" max="3" width="16" style="159" customWidth="1"/>
    <col min="4" max="4" width="16" style="537" customWidth="1"/>
  </cols>
  <sheetData>
    <row r="1" spans="2:5" s="52" customFormat="1">
      <c r="C1" s="159"/>
      <c r="D1" s="537"/>
    </row>
    <row r="2" spans="2:5">
      <c r="B2" s="161" t="s">
        <v>1889</v>
      </c>
      <c r="C2" s="162" t="e">
        <v>#N/A</v>
      </c>
      <c r="D2" s="545"/>
    </row>
    <row r="3" spans="2:5">
      <c r="B3" s="161" t="s">
        <v>1888</v>
      </c>
      <c r="C3" s="162" t="e">
        <v>#N/A</v>
      </c>
      <c r="D3" s="545"/>
    </row>
    <row r="4" spans="2:5">
      <c r="B4" s="161" t="s">
        <v>1890</v>
      </c>
      <c r="C4" s="162" t="e">
        <v>#N/A</v>
      </c>
      <c r="D4" s="546"/>
      <c r="E4" s="52"/>
    </row>
    <row r="5" spans="2:5">
      <c r="B5" s="166" t="s">
        <v>1913</v>
      </c>
      <c r="C5" s="162" t="e">
        <v>#N/A</v>
      </c>
      <c r="D5" s="545"/>
    </row>
    <row r="6" spans="2:5">
      <c r="B6" s="538" t="s">
        <v>2393</v>
      </c>
      <c r="C6" s="537" t="s">
        <v>2398</v>
      </c>
      <c r="D6" s="52"/>
    </row>
    <row r="7" spans="2:5" s="52" customFormat="1">
      <c r="B7" s="538" t="s">
        <v>2394</v>
      </c>
      <c r="C7" s="537" t="str">
        <f>IF(SUM_OVE_VALID="Allow invalid sheet upload","Upload anyway","")</f>
        <v/>
      </c>
    </row>
    <row r="8" spans="2:5">
      <c r="B8" s="538" t="s">
        <v>2399</v>
      </c>
      <c r="C8" s="159" t="s">
        <v>2401</v>
      </c>
    </row>
    <row r="9" spans="2:5">
      <c r="B9" s="538" t="s">
        <v>2400</v>
      </c>
      <c r="C9" s="537" t="str">
        <f>IF(LEN(SUM_OVR_RES)&gt;49,"Allow invalid sheet upload","")</f>
        <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R338"/>
  <sheetViews>
    <sheetView topLeftCell="AJ1" zoomScale="85" zoomScaleNormal="85" workbookViewId="0">
      <pane ySplit="1" topLeftCell="A4396" activePane="bottomLeft" state="frozen"/>
      <selection pane="bottomLeft" activeCell="AM1" sqref="AM1:AM1048576"/>
    </sheetView>
  </sheetViews>
  <sheetFormatPr defaultColWidth="9.109375" defaultRowHeight="12" customHeight="1"/>
  <cols>
    <col min="1" max="6" width="30.44140625" style="1" customWidth="1"/>
    <col min="7" max="7" width="21.33203125" style="1" customWidth="1"/>
    <col min="8" max="8" width="31.6640625" style="1" customWidth="1"/>
    <col min="9" max="9" width="21.33203125" style="1" customWidth="1"/>
    <col min="10" max="10" width="25.6640625" style="1" customWidth="1"/>
    <col min="11" max="11" width="19.33203125" style="1" customWidth="1"/>
    <col min="12" max="12" width="29.33203125" style="1" customWidth="1"/>
    <col min="13" max="13" width="19.109375" style="1" customWidth="1"/>
    <col min="14" max="14" width="33.44140625" style="1" customWidth="1"/>
    <col min="15" max="15" width="9.6640625" style="1" customWidth="1"/>
    <col min="16" max="16" width="62.6640625" style="1" customWidth="1"/>
    <col min="17" max="17" width="20.5546875" style="1" customWidth="1"/>
    <col min="18" max="18" width="19.6640625" style="1" customWidth="1"/>
    <col min="19" max="19" width="33" style="7" customWidth="1"/>
    <col min="20" max="20" width="7.6640625" style="1" customWidth="1"/>
    <col min="21" max="21" width="19.88671875" style="1" customWidth="1"/>
    <col min="22" max="22" width="14.44140625" style="1" customWidth="1"/>
    <col min="23" max="23" width="14.88671875" style="1" customWidth="1"/>
    <col min="24" max="24" width="15.44140625" style="1" customWidth="1"/>
    <col min="25" max="32" width="30.109375" style="1" customWidth="1"/>
    <col min="33" max="33" width="47.5546875" style="1" customWidth="1"/>
    <col min="34" max="34" width="30.109375" style="1" customWidth="1"/>
    <col min="35" max="35" width="9.109375" style="1"/>
    <col min="36" max="36" width="31.33203125" style="1" customWidth="1"/>
    <col min="37" max="37" width="10.6640625" style="7" customWidth="1"/>
    <col min="38" max="38" width="67" style="1" customWidth="1"/>
    <col min="39" max="39" width="38.109375" style="1" customWidth="1"/>
    <col min="40" max="40" width="14.109375" style="1" customWidth="1"/>
    <col min="41" max="41" width="26.33203125" style="1" customWidth="1"/>
    <col min="42" max="42" width="9.109375" style="1"/>
    <col min="43" max="43" width="11.109375" style="1" customWidth="1"/>
    <col min="44" max="44" width="44" style="1" customWidth="1"/>
    <col min="45" max="16384" width="9.109375" style="1"/>
  </cols>
  <sheetData>
    <row r="1" spans="1:44" s="56" customFormat="1" ht="12" customHeight="1" thickBot="1">
      <c r="A1" s="80" t="s">
        <v>21</v>
      </c>
      <c r="B1" s="80" t="s">
        <v>44</v>
      </c>
      <c r="C1" s="80" t="s">
        <v>64</v>
      </c>
      <c r="D1" s="80" t="s">
        <v>76</v>
      </c>
      <c r="E1" s="80" t="s">
        <v>83</v>
      </c>
      <c r="F1" s="80" t="s">
        <v>84</v>
      </c>
      <c r="G1" s="82" t="s">
        <v>87</v>
      </c>
      <c r="H1" s="82" t="s">
        <v>112</v>
      </c>
      <c r="I1" s="80" t="s">
        <v>113</v>
      </c>
      <c r="J1" s="86" t="s">
        <v>389</v>
      </c>
      <c r="K1" s="87" t="s">
        <v>390</v>
      </c>
      <c r="L1" s="80" t="s">
        <v>397</v>
      </c>
      <c r="M1" s="80" t="s">
        <v>401</v>
      </c>
      <c r="N1" s="118" t="s">
        <v>46</v>
      </c>
      <c r="O1" s="91" t="s">
        <v>20</v>
      </c>
      <c r="P1" s="91" t="s">
        <v>580</v>
      </c>
      <c r="Q1" s="80" t="s">
        <v>583</v>
      </c>
      <c r="R1" s="80" t="s">
        <v>584</v>
      </c>
      <c r="S1" s="82" t="s">
        <v>59</v>
      </c>
      <c r="T1" s="96" t="s">
        <v>587</v>
      </c>
      <c r="U1" s="97" t="s">
        <v>580</v>
      </c>
      <c r="V1" s="86" t="s">
        <v>589</v>
      </c>
      <c r="W1" s="87" t="s">
        <v>590</v>
      </c>
      <c r="X1" s="80" t="s">
        <v>85</v>
      </c>
      <c r="Y1" s="82" t="s">
        <v>626</v>
      </c>
      <c r="Z1" s="82" t="s">
        <v>593</v>
      </c>
      <c r="AA1" s="82" t="s">
        <v>594</v>
      </c>
      <c r="AB1" s="82" t="s">
        <v>595</v>
      </c>
      <c r="AC1" s="82" t="s">
        <v>640</v>
      </c>
      <c r="AD1" s="82" t="s">
        <v>596</v>
      </c>
      <c r="AE1" s="80" t="s">
        <v>623</v>
      </c>
      <c r="AF1" s="80" t="s">
        <v>690</v>
      </c>
      <c r="AG1" s="56" t="s">
        <v>630</v>
      </c>
      <c r="AH1" s="56" t="s">
        <v>631</v>
      </c>
      <c r="AJ1" s="86" t="s">
        <v>673</v>
      </c>
      <c r="AK1" s="91" t="s">
        <v>20</v>
      </c>
      <c r="AL1" s="87" t="s">
        <v>580</v>
      </c>
      <c r="AM1" s="55" t="s">
        <v>1384</v>
      </c>
      <c r="AN1" s="56" t="s">
        <v>1570</v>
      </c>
      <c r="AO1" s="56" t="s">
        <v>1571</v>
      </c>
      <c r="AQ1" s="52" t="s">
        <v>689</v>
      </c>
      <c r="AR1" s="52" t="s">
        <v>1273</v>
      </c>
    </row>
    <row r="2" spans="1:44" ht="12" customHeight="1" thickBot="1">
      <c r="A2" s="81" t="s">
        <v>22</v>
      </c>
      <c r="B2" s="81" t="s">
        <v>10</v>
      </c>
      <c r="C2" s="81" t="s">
        <v>81</v>
      </c>
      <c r="D2" s="81" t="s">
        <v>77</v>
      </c>
      <c r="E2" s="81">
        <v>1</v>
      </c>
      <c r="F2" s="81" t="s">
        <v>85</v>
      </c>
      <c r="G2" s="83" t="s">
        <v>2428</v>
      </c>
      <c r="H2" s="84" t="s">
        <v>88</v>
      </c>
      <c r="I2" s="85" t="s">
        <v>114</v>
      </c>
      <c r="J2" s="88" t="s">
        <v>118</v>
      </c>
      <c r="K2" s="89" t="s">
        <v>119</v>
      </c>
      <c r="L2" s="85" t="s">
        <v>392</v>
      </c>
      <c r="M2" s="85" t="s">
        <v>398</v>
      </c>
      <c r="N2" s="119" t="s">
        <v>466</v>
      </c>
      <c r="O2" s="93">
        <v>551</v>
      </c>
      <c r="P2" s="120" t="s">
        <v>467</v>
      </c>
      <c r="Q2" s="85" t="s">
        <v>581</v>
      </c>
      <c r="R2" s="85" t="s">
        <v>621</v>
      </c>
      <c r="S2" s="84" t="s">
        <v>117</v>
      </c>
      <c r="T2" s="92" t="s">
        <v>1868</v>
      </c>
      <c r="U2" s="94" t="s">
        <v>1868</v>
      </c>
      <c r="V2" s="98">
        <v>29221</v>
      </c>
      <c r="W2" s="61">
        <v>54789</v>
      </c>
      <c r="X2" s="58" t="s">
        <v>85</v>
      </c>
      <c r="Y2" s="99" t="s">
        <v>627</v>
      </c>
      <c r="Z2" s="99" t="s">
        <v>1892</v>
      </c>
      <c r="AA2" s="99" t="s">
        <v>597</v>
      </c>
      <c r="AB2" s="60" t="s">
        <v>595</v>
      </c>
      <c r="AC2" s="99" t="s">
        <v>1859</v>
      </c>
      <c r="AD2" s="99" t="s">
        <v>1860</v>
      </c>
      <c r="AE2" s="84" t="s">
        <v>1812</v>
      </c>
      <c r="AF2" s="85" t="b">
        <v>1</v>
      </c>
      <c r="AG2" s="24" t="s">
        <v>1891</v>
      </c>
      <c r="AH2" s="11">
        <v>1100</v>
      </c>
      <c r="AJ2" s="88" t="s">
        <v>643</v>
      </c>
      <c r="AK2" s="100">
        <v>1</v>
      </c>
      <c r="AL2" s="89" t="s">
        <v>644</v>
      </c>
      <c r="AM2" s="52" t="s">
        <v>1278</v>
      </c>
      <c r="AN2" s="121" t="s">
        <v>1588</v>
      </c>
      <c r="AO2" s="121" t="s">
        <v>1400</v>
      </c>
      <c r="AQ2" s="1" t="s">
        <v>732</v>
      </c>
      <c r="AR2" s="1" t="s">
        <v>733</v>
      </c>
    </row>
    <row r="3" spans="1:44" ht="12" customHeight="1" thickTop="1" thickBot="1">
      <c r="A3" s="81" t="s">
        <v>23</v>
      </c>
      <c r="B3" s="81" t="s">
        <v>18</v>
      </c>
      <c r="C3" s="64" t="s">
        <v>82</v>
      </c>
      <c r="D3" s="64" t="s">
        <v>78</v>
      </c>
      <c r="E3" s="81">
        <v>2</v>
      </c>
      <c r="F3" s="64" t="s">
        <v>86</v>
      </c>
      <c r="G3" s="83" t="s">
        <v>2429</v>
      </c>
      <c r="H3" s="84" t="s">
        <v>89</v>
      </c>
      <c r="I3" s="85" t="s">
        <v>115</v>
      </c>
      <c r="J3" s="88" t="s">
        <v>120</v>
      </c>
      <c r="K3" s="89" t="s">
        <v>119</v>
      </c>
      <c r="L3" s="85" t="s">
        <v>393</v>
      </c>
      <c r="M3" s="85" t="s">
        <v>399</v>
      </c>
      <c r="N3" s="119" t="s">
        <v>484</v>
      </c>
      <c r="O3" s="93">
        <v>60</v>
      </c>
      <c r="P3" s="120" t="s">
        <v>485</v>
      </c>
      <c r="Q3" s="58" t="s">
        <v>582</v>
      </c>
      <c r="R3" s="58" t="s">
        <v>622</v>
      </c>
      <c r="S3" s="84" t="s">
        <v>586</v>
      </c>
      <c r="T3" s="92" t="s">
        <v>588</v>
      </c>
      <c r="U3" s="94" t="s">
        <v>588</v>
      </c>
      <c r="Y3" s="99" t="s">
        <v>595</v>
      </c>
      <c r="Z3" s="99" t="s">
        <v>1891</v>
      </c>
      <c r="AA3" s="99" t="s">
        <v>602</v>
      </c>
      <c r="AC3" s="99" t="s">
        <v>599</v>
      </c>
      <c r="AD3" s="99" t="s">
        <v>600</v>
      </c>
      <c r="AE3" s="84" t="s">
        <v>1813</v>
      </c>
      <c r="AF3" s="58" t="b">
        <v>0</v>
      </c>
      <c r="AG3" s="25" t="s">
        <v>1892</v>
      </c>
      <c r="AH3" s="13">
        <v>1200</v>
      </c>
      <c r="AJ3" s="88" t="s">
        <v>645</v>
      </c>
      <c r="AK3" s="100">
        <v>2</v>
      </c>
      <c r="AL3" s="89" t="s">
        <v>646</v>
      </c>
      <c r="AM3" s="52" t="s">
        <v>1279</v>
      </c>
      <c r="AN3" s="121" t="s">
        <v>1589</v>
      </c>
      <c r="AO3" s="121" t="s">
        <v>1403</v>
      </c>
      <c r="AQ3" s="52" t="s">
        <v>734</v>
      </c>
      <c r="AR3" s="52" t="s">
        <v>1278</v>
      </c>
    </row>
    <row r="4" spans="1:44" ht="12" customHeight="1" thickTop="1" thickBot="1">
      <c r="A4" s="81" t="s">
        <v>6</v>
      </c>
      <c r="B4" s="81" t="s">
        <v>16</v>
      </c>
      <c r="C4" s="4"/>
      <c r="D4" s="4"/>
      <c r="E4" s="64">
        <v>3</v>
      </c>
      <c r="G4" s="63" t="s">
        <v>2430</v>
      </c>
      <c r="H4" s="84" t="s">
        <v>90</v>
      </c>
      <c r="I4" s="85" t="s">
        <v>116</v>
      </c>
      <c r="J4" s="88" t="s">
        <v>121</v>
      </c>
      <c r="K4" s="89" t="s">
        <v>122</v>
      </c>
      <c r="L4" s="85" t="s">
        <v>394</v>
      </c>
      <c r="M4" s="58" t="s">
        <v>400</v>
      </c>
      <c r="N4" s="119" t="s">
        <v>425</v>
      </c>
      <c r="O4" s="93">
        <v>515</v>
      </c>
      <c r="P4" s="120" t="s">
        <v>426</v>
      </c>
      <c r="S4" s="59" t="s">
        <v>585</v>
      </c>
      <c r="T4" s="95" t="s">
        <v>79</v>
      </c>
      <c r="U4" s="62" t="s">
        <v>79</v>
      </c>
      <c r="Y4" s="99" t="s">
        <v>594</v>
      </c>
      <c r="Z4" s="99" t="s">
        <v>601</v>
      </c>
      <c r="AA4" s="99" t="s">
        <v>598</v>
      </c>
      <c r="AC4" s="60" t="s">
        <v>1864</v>
      </c>
      <c r="AD4" s="99" t="s">
        <v>603</v>
      </c>
      <c r="AE4" s="84" t="s">
        <v>1814</v>
      </c>
      <c r="AG4" s="24" t="s">
        <v>601</v>
      </c>
      <c r="AH4" s="11">
        <v>1301</v>
      </c>
      <c r="AJ4" s="88" t="s">
        <v>647</v>
      </c>
      <c r="AK4" s="100">
        <v>3</v>
      </c>
      <c r="AL4" s="89" t="s">
        <v>648</v>
      </c>
      <c r="AM4" s="52" t="s">
        <v>1280</v>
      </c>
      <c r="AN4" s="121" t="s">
        <v>1590</v>
      </c>
      <c r="AO4" s="121" t="s">
        <v>1445</v>
      </c>
      <c r="AQ4" s="52" t="s">
        <v>735</v>
      </c>
      <c r="AR4" s="52" t="s">
        <v>1279</v>
      </c>
    </row>
    <row r="5" spans="1:44" ht="12" customHeight="1" thickTop="1" thickBot="1">
      <c r="A5" s="81" t="s">
        <v>24</v>
      </c>
      <c r="B5" s="81" t="s">
        <v>17</v>
      </c>
      <c r="C5" s="4"/>
      <c r="D5" s="4"/>
      <c r="E5" s="4"/>
      <c r="H5" s="84" t="s">
        <v>91</v>
      </c>
      <c r="I5" s="58" t="s">
        <v>117</v>
      </c>
      <c r="J5" s="88" t="s">
        <v>123</v>
      </c>
      <c r="K5" s="89" t="s">
        <v>124</v>
      </c>
      <c r="L5" s="85" t="s">
        <v>395</v>
      </c>
      <c r="N5" s="119" t="s">
        <v>566</v>
      </c>
      <c r="O5" s="93">
        <v>84</v>
      </c>
      <c r="P5" s="120" t="s">
        <v>567</v>
      </c>
      <c r="Y5" s="99" t="s">
        <v>628</v>
      </c>
      <c r="Z5" s="60" t="s">
        <v>1863</v>
      </c>
      <c r="AA5" s="99" t="s">
        <v>604</v>
      </c>
      <c r="AD5" s="99" t="s">
        <v>605</v>
      </c>
      <c r="AE5" s="84" t="s">
        <v>1815</v>
      </c>
      <c r="AG5" s="26" t="s">
        <v>1863</v>
      </c>
      <c r="AH5" s="14">
        <v>1300</v>
      </c>
      <c r="AJ5" s="88" t="s">
        <v>649</v>
      </c>
      <c r="AK5" s="100">
        <v>4</v>
      </c>
      <c r="AL5" s="89" t="s">
        <v>650</v>
      </c>
      <c r="AM5" s="52" t="s">
        <v>738</v>
      </c>
      <c r="AN5" s="121" t="s">
        <v>1591</v>
      </c>
      <c r="AO5" s="121" t="s">
        <v>1407</v>
      </c>
      <c r="AQ5" s="52" t="s">
        <v>736</v>
      </c>
      <c r="AR5" s="52" t="s">
        <v>1280</v>
      </c>
    </row>
    <row r="6" spans="1:44" ht="12" customHeight="1" thickTop="1" thickBot="1">
      <c r="A6" s="81" t="s">
        <v>25</v>
      </c>
      <c r="B6" s="64" t="s">
        <v>45</v>
      </c>
      <c r="C6" s="4"/>
      <c r="D6" s="4"/>
      <c r="E6" s="4"/>
      <c r="F6" s="4"/>
      <c r="H6" s="84" t="s">
        <v>92</v>
      </c>
      <c r="J6" s="88" t="s">
        <v>137</v>
      </c>
      <c r="K6" s="89" t="s">
        <v>138</v>
      </c>
      <c r="L6" s="58" t="s">
        <v>396</v>
      </c>
      <c r="N6" s="119" t="s">
        <v>435</v>
      </c>
      <c r="O6" s="93">
        <v>52</v>
      </c>
      <c r="P6" s="120" t="s">
        <v>436</v>
      </c>
      <c r="Y6" s="60" t="s">
        <v>629</v>
      </c>
      <c r="Z6" s="10"/>
      <c r="AA6" s="99" t="s">
        <v>606</v>
      </c>
      <c r="AD6" s="99" t="s">
        <v>1865</v>
      </c>
      <c r="AE6" s="84" t="s">
        <v>1816</v>
      </c>
      <c r="AG6" s="24" t="s">
        <v>597</v>
      </c>
      <c r="AH6" s="11">
        <v>2100</v>
      </c>
      <c r="AJ6" s="88" t="s">
        <v>651</v>
      </c>
      <c r="AK6" s="100">
        <v>5</v>
      </c>
      <c r="AL6" s="89" t="s">
        <v>652</v>
      </c>
      <c r="AM6" s="52" t="s">
        <v>740</v>
      </c>
      <c r="AN6" s="121" t="s">
        <v>1592</v>
      </c>
      <c r="AO6" s="121" t="s">
        <v>1398</v>
      </c>
      <c r="AQ6" s="52" t="s">
        <v>737</v>
      </c>
      <c r="AR6" s="52" t="s">
        <v>738</v>
      </c>
    </row>
    <row r="7" spans="1:44" ht="12" customHeight="1" thickTop="1" thickBot="1">
      <c r="A7" s="81" t="s">
        <v>12</v>
      </c>
      <c r="B7" s="4"/>
      <c r="C7" s="4"/>
      <c r="D7" s="4"/>
      <c r="E7" s="4"/>
      <c r="F7" s="4"/>
      <c r="H7" s="84" t="s">
        <v>93</v>
      </c>
      <c r="J7" s="88" t="s">
        <v>147</v>
      </c>
      <c r="K7" s="89" t="s">
        <v>148</v>
      </c>
      <c r="N7" s="119" t="s">
        <v>518</v>
      </c>
      <c r="O7" s="93">
        <v>727</v>
      </c>
      <c r="P7" s="120" t="s">
        <v>519</v>
      </c>
      <c r="Y7" s="10"/>
      <c r="Z7" s="10"/>
      <c r="AA7" s="99" t="s">
        <v>607</v>
      </c>
      <c r="AD7" s="99" t="s">
        <v>608</v>
      </c>
      <c r="AE7" s="59" t="s">
        <v>1817</v>
      </c>
      <c r="AG7" s="25" t="s">
        <v>598</v>
      </c>
      <c r="AH7" s="13">
        <v>2200</v>
      </c>
      <c r="AJ7" s="88" t="s">
        <v>653</v>
      </c>
      <c r="AK7" s="100">
        <v>6</v>
      </c>
      <c r="AL7" s="89" t="s">
        <v>654</v>
      </c>
      <c r="AM7" s="52" t="s">
        <v>742</v>
      </c>
      <c r="AN7" s="121" t="s">
        <v>1593</v>
      </c>
      <c r="AO7" s="121" t="s">
        <v>1404</v>
      </c>
      <c r="AQ7" s="52" t="s">
        <v>739</v>
      </c>
      <c r="AR7" s="52" t="s">
        <v>740</v>
      </c>
    </row>
    <row r="8" spans="1:44" ht="12" customHeight="1" thickTop="1" thickBot="1">
      <c r="A8" s="81" t="s">
        <v>26</v>
      </c>
      <c r="B8" s="4"/>
      <c r="C8" s="4"/>
      <c r="E8" s="4"/>
      <c r="H8" s="84" t="s">
        <v>94</v>
      </c>
      <c r="J8" s="88" t="s">
        <v>149</v>
      </c>
      <c r="K8" s="89" t="s">
        <v>150</v>
      </c>
      <c r="N8" s="119" t="s">
        <v>516</v>
      </c>
      <c r="O8" s="93">
        <v>726</v>
      </c>
      <c r="P8" s="120" t="s">
        <v>517</v>
      </c>
      <c r="Y8" s="10"/>
      <c r="AA8" s="99" t="s">
        <v>609</v>
      </c>
      <c r="AD8" s="99" t="s">
        <v>610</v>
      </c>
      <c r="AG8" s="24" t="s">
        <v>602</v>
      </c>
      <c r="AH8" s="11">
        <v>2301</v>
      </c>
      <c r="AJ8" s="88" t="s">
        <v>655</v>
      </c>
      <c r="AK8" s="100">
        <v>7</v>
      </c>
      <c r="AL8" s="89" t="s">
        <v>656</v>
      </c>
      <c r="AM8" s="52" t="s">
        <v>744</v>
      </c>
      <c r="AN8" s="121" t="s">
        <v>1594</v>
      </c>
      <c r="AO8" s="121" t="s">
        <v>1402</v>
      </c>
      <c r="AQ8" s="52" t="s">
        <v>741</v>
      </c>
      <c r="AR8" s="52" t="s">
        <v>742</v>
      </c>
    </row>
    <row r="9" spans="1:44" ht="12" customHeight="1" thickBot="1">
      <c r="A9" s="81" t="s">
        <v>27</v>
      </c>
      <c r="B9" s="4"/>
      <c r="C9" s="4"/>
      <c r="E9" s="4"/>
      <c r="H9" s="84" t="s">
        <v>95</v>
      </c>
      <c r="J9" s="88" t="s">
        <v>135</v>
      </c>
      <c r="K9" s="89" t="s">
        <v>136</v>
      </c>
      <c r="N9" s="119" t="s">
        <v>421</v>
      </c>
      <c r="O9" s="93">
        <v>513</v>
      </c>
      <c r="P9" s="120" t="s">
        <v>422</v>
      </c>
      <c r="Y9" s="10"/>
      <c r="AA9" s="99" t="s">
        <v>611</v>
      </c>
      <c r="AD9" s="99" t="s">
        <v>1861</v>
      </c>
      <c r="AG9" s="25" t="s">
        <v>604</v>
      </c>
      <c r="AH9" s="13">
        <v>2302</v>
      </c>
      <c r="AJ9" s="88" t="s">
        <v>657</v>
      </c>
      <c r="AK9" s="100">
        <v>8</v>
      </c>
      <c r="AL9" s="89" t="s">
        <v>658</v>
      </c>
      <c r="AM9" s="52" t="s">
        <v>712</v>
      </c>
      <c r="AN9" s="121" t="s">
        <v>1595</v>
      </c>
      <c r="AO9" s="121" t="s">
        <v>1405</v>
      </c>
      <c r="AQ9" s="52" t="s">
        <v>743</v>
      </c>
      <c r="AR9" s="52" t="s">
        <v>744</v>
      </c>
    </row>
    <row r="10" spans="1:44" ht="12" customHeight="1" thickBot="1">
      <c r="A10" s="81" t="s">
        <v>28</v>
      </c>
      <c r="B10" s="4"/>
      <c r="C10" s="4"/>
      <c r="E10" s="4"/>
      <c r="H10" s="84" t="s">
        <v>96</v>
      </c>
      <c r="J10" s="88" t="s">
        <v>153</v>
      </c>
      <c r="K10" s="89" t="s">
        <v>154</v>
      </c>
      <c r="N10" s="119" t="s">
        <v>472</v>
      </c>
      <c r="O10" s="93">
        <v>57</v>
      </c>
      <c r="P10" s="120" t="s">
        <v>473</v>
      </c>
      <c r="Y10" s="10"/>
      <c r="AA10" s="99" t="s">
        <v>612</v>
      </c>
      <c r="AD10" s="99" t="s">
        <v>613</v>
      </c>
      <c r="AG10" s="24" t="s">
        <v>606</v>
      </c>
      <c r="AH10" s="11">
        <v>2303</v>
      </c>
      <c r="AJ10" s="88" t="s">
        <v>659</v>
      </c>
      <c r="AK10" s="100">
        <v>9</v>
      </c>
      <c r="AL10" s="89" t="s">
        <v>660</v>
      </c>
      <c r="AM10" s="52" t="s">
        <v>1281</v>
      </c>
      <c r="AN10" s="121" t="s">
        <v>1596</v>
      </c>
      <c r="AO10" s="121" t="s">
        <v>1401</v>
      </c>
      <c r="AQ10" s="52" t="s">
        <v>746</v>
      </c>
      <c r="AR10" s="52" t="s">
        <v>712</v>
      </c>
    </row>
    <row r="11" spans="1:44" ht="12" customHeight="1" thickBot="1">
      <c r="A11" s="81" t="s">
        <v>29</v>
      </c>
      <c r="B11" s="4"/>
      <c r="C11" s="4"/>
      <c r="D11" s="4"/>
      <c r="E11" s="4"/>
      <c r="H11" s="84" t="s">
        <v>97</v>
      </c>
      <c r="J11" s="88" t="s">
        <v>157</v>
      </c>
      <c r="K11" s="89" t="s">
        <v>158</v>
      </c>
      <c r="N11" s="119" t="s">
        <v>411</v>
      </c>
      <c r="O11" s="93">
        <v>505</v>
      </c>
      <c r="P11" s="120" t="s">
        <v>412</v>
      </c>
      <c r="Y11" s="10"/>
      <c r="AA11" s="99" t="s">
        <v>614</v>
      </c>
      <c r="AD11" s="99" t="s">
        <v>615</v>
      </c>
      <c r="AG11" s="25" t="s">
        <v>607</v>
      </c>
      <c r="AH11" s="13">
        <v>2304</v>
      </c>
      <c r="AJ11" s="88" t="s">
        <v>661</v>
      </c>
      <c r="AK11" s="100">
        <v>10</v>
      </c>
      <c r="AL11" s="89" t="s">
        <v>662</v>
      </c>
      <c r="AM11" s="52" t="s">
        <v>1282</v>
      </c>
      <c r="AN11" s="121" t="s">
        <v>1597</v>
      </c>
      <c r="AO11" s="121" t="s">
        <v>1406</v>
      </c>
      <c r="AQ11" s="52" t="s">
        <v>747</v>
      </c>
      <c r="AR11" s="52" t="s">
        <v>1281</v>
      </c>
    </row>
    <row r="12" spans="1:44" ht="12" customHeight="1" thickBot="1">
      <c r="A12" s="81" t="s">
        <v>30</v>
      </c>
      <c r="B12" s="4"/>
      <c r="C12" s="4"/>
      <c r="D12" s="4"/>
      <c r="E12" s="4"/>
      <c r="F12" s="4"/>
      <c r="H12" s="84" t="s">
        <v>98</v>
      </c>
      <c r="J12" s="88" t="s">
        <v>125</v>
      </c>
      <c r="K12" s="89" t="s">
        <v>126</v>
      </c>
      <c r="N12" s="119" t="s">
        <v>576</v>
      </c>
      <c r="O12" s="93">
        <v>92</v>
      </c>
      <c r="P12" s="120" t="s">
        <v>577</v>
      </c>
      <c r="Y12" s="10"/>
      <c r="AA12" s="99" t="s">
        <v>616</v>
      </c>
      <c r="AD12" s="99" t="s">
        <v>617</v>
      </c>
      <c r="AF12" s="15"/>
      <c r="AG12" s="24" t="s">
        <v>609</v>
      </c>
      <c r="AH12" s="11">
        <v>2305</v>
      </c>
      <c r="AJ12" s="88" t="s">
        <v>663</v>
      </c>
      <c r="AK12" s="100">
        <v>11</v>
      </c>
      <c r="AL12" s="89" t="s">
        <v>664</v>
      </c>
      <c r="AM12" s="52" t="s">
        <v>1283</v>
      </c>
      <c r="AN12" s="121" t="s">
        <v>1598</v>
      </c>
      <c r="AO12" s="121" t="s">
        <v>1266</v>
      </c>
      <c r="AQ12" s="52" t="s">
        <v>748</v>
      </c>
      <c r="AR12" s="52" t="s">
        <v>1282</v>
      </c>
    </row>
    <row r="13" spans="1:44" ht="12" customHeight="1" thickBot="1">
      <c r="A13" s="81" t="s">
        <v>11</v>
      </c>
      <c r="B13" s="4"/>
      <c r="C13" s="4"/>
      <c r="D13" s="4"/>
      <c r="E13" s="4"/>
      <c r="F13" s="4"/>
      <c r="H13" s="84" t="s">
        <v>99</v>
      </c>
      <c r="J13" s="88" t="s">
        <v>171</v>
      </c>
      <c r="K13" s="89" t="s">
        <v>172</v>
      </c>
      <c r="N13" s="119" t="s">
        <v>441</v>
      </c>
      <c r="O13" s="93">
        <v>523</v>
      </c>
      <c r="P13" s="120" t="s">
        <v>442</v>
      </c>
      <c r="Y13" s="10"/>
      <c r="AA13" s="99" t="s">
        <v>1867</v>
      </c>
      <c r="AD13" s="99" t="s">
        <v>618</v>
      </c>
      <c r="AG13" s="25" t="s">
        <v>611</v>
      </c>
      <c r="AH13" s="13">
        <v>2306</v>
      </c>
      <c r="AJ13" s="88" t="s">
        <v>665</v>
      </c>
      <c r="AK13" s="100">
        <v>12</v>
      </c>
      <c r="AL13" s="89" t="s">
        <v>666</v>
      </c>
      <c r="AM13" s="52" t="s">
        <v>1284</v>
      </c>
      <c r="AN13" s="121" t="s">
        <v>1599</v>
      </c>
      <c r="AO13" s="121" t="s">
        <v>718</v>
      </c>
      <c r="AQ13" s="52" t="s">
        <v>749</v>
      </c>
      <c r="AR13" s="52" t="s">
        <v>1283</v>
      </c>
    </row>
    <row r="14" spans="1:44" ht="12" customHeight="1" thickBot="1">
      <c r="A14" s="81" t="s">
        <v>31</v>
      </c>
      <c r="B14" s="4"/>
      <c r="C14" s="4"/>
      <c r="D14" s="4"/>
      <c r="E14" s="4"/>
      <c r="F14" s="4"/>
      <c r="H14" s="84" t="s">
        <v>100</v>
      </c>
      <c r="J14" s="88" t="s">
        <v>145</v>
      </c>
      <c r="K14" s="89" t="s">
        <v>146</v>
      </c>
      <c r="N14" s="119" t="s">
        <v>427</v>
      </c>
      <c r="O14" s="93">
        <v>516</v>
      </c>
      <c r="P14" s="120" t="s">
        <v>428</v>
      </c>
      <c r="Y14" s="10"/>
      <c r="AA14" s="99" t="s">
        <v>619</v>
      </c>
      <c r="AD14" s="60" t="s">
        <v>1866</v>
      </c>
      <c r="AG14" s="24" t="s">
        <v>612</v>
      </c>
      <c r="AH14" s="11">
        <v>2307</v>
      </c>
      <c r="AJ14" s="88" t="s">
        <v>667</v>
      </c>
      <c r="AK14" s="100">
        <v>13</v>
      </c>
      <c r="AL14" s="89" t="s">
        <v>668</v>
      </c>
      <c r="AM14" s="52" t="s">
        <v>752</v>
      </c>
      <c r="AN14" s="121" t="s">
        <v>1600</v>
      </c>
      <c r="AO14" s="121" t="s">
        <v>1409</v>
      </c>
      <c r="AQ14" s="52" t="s">
        <v>750</v>
      </c>
      <c r="AR14" s="52" t="s">
        <v>1284</v>
      </c>
    </row>
    <row r="15" spans="1:44" ht="12" customHeight="1" thickTop="1" thickBot="1">
      <c r="A15" s="81" t="s">
        <v>19</v>
      </c>
      <c r="B15" s="4"/>
      <c r="C15" s="4"/>
      <c r="D15" s="4"/>
      <c r="E15" s="4"/>
      <c r="F15" s="4"/>
      <c r="H15" s="84" t="s">
        <v>101</v>
      </c>
      <c r="J15" s="88" t="s">
        <v>175</v>
      </c>
      <c r="K15" s="89" t="s">
        <v>176</v>
      </c>
      <c r="N15" s="119" t="s">
        <v>451</v>
      </c>
      <c r="O15" s="93">
        <v>532</v>
      </c>
      <c r="P15" s="120" t="s">
        <v>452</v>
      </c>
      <c r="Y15" s="10"/>
      <c r="AA15" s="99" t="s">
        <v>620</v>
      </c>
      <c r="AG15" s="25" t="s">
        <v>614</v>
      </c>
      <c r="AH15" s="13">
        <v>2308</v>
      </c>
      <c r="AJ15" s="88" t="s">
        <v>669</v>
      </c>
      <c r="AK15" s="100">
        <v>14</v>
      </c>
      <c r="AL15" s="89" t="s">
        <v>670</v>
      </c>
      <c r="AM15" s="52" t="s">
        <v>754</v>
      </c>
      <c r="AN15" s="121" t="s">
        <v>124</v>
      </c>
      <c r="AO15" s="121" t="s">
        <v>1408</v>
      </c>
      <c r="AQ15" s="52" t="s">
        <v>751</v>
      </c>
      <c r="AR15" s="52" t="s">
        <v>752</v>
      </c>
    </row>
    <row r="16" spans="1:44" ht="12" customHeight="1" thickBot="1">
      <c r="A16" s="81" t="s">
        <v>32</v>
      </c>
      <c r="B16" s="5"/>
      <c r="C16" s="5"/>
      <c r="D16" s="5"/>
      <c r="E16" s="4"/>
      <c r="F16" s="4"/>
      <c r="H16" s="84" t="s">
        <v>102</v>
      </c>
      <c r="J16" s="88" t="s">
        <v>141</v>
      </c>
      <c r="K16" s="89" t="s">
        <v>142</v>
      </c>
      <c r="N16" s="119" t="s">
        <v>453</v>
      </c>
      <c r="O16" s="93">
        <v>533</v>
      </c>
      <c r="P16" s="120" t="s">
        <v>454</v>
      </c>
      <c r="Y16" s="10"/>
      <c r="AA16" s="60" t="s">
        <v>1862</v>
      </c>
      <c r="AG16" s="24" t="s">
        <v>616</v>
      </c>
      <c r="AH16" s="11">
        <v>2309</v>
      </c>
      <c r="AJ16" s="90" t="s">
        <v>671</v>
      </c>
      <c r="AK16" s="101">
        <v>15</v>
      </c>
      <c r="AL16" s="57" t="s">
        <v>672</v>
      </c>
      <c r="AM16" s="52" t="s">
        <v>1285</v>
      </c>
      <c r="AN16" s="121" t="s">
        <v>1601</v>
      </c>
      <c r="AO16" s="121" t="s">
        <v>1757</v>
      </c>
      <c r="AQ16" s="52" t="s">
        <v>753</v>
      </c>
      <c r="AR16" s="52" t="s">
        <v>754</v>
      </c>
    </row>
    <row r="17" spans="1:44" ht="12" customHeight="1" thickTop="1" thickBot="1">
      <c r="A17" s="81" t="s">
        <v>33</v>
      </c>
      <c r="B17" s="5"/>
      <c r="C17" s="5"/>
      <c r="D17" s="5"/>
      <c r="E17" s="4"/>
      <c r="F17" s="4"/>
      <c r="H17" s="84" t="s">
        <v>103</v>
      </c>
      <c r="J17" s="88" t="s">
        <v>131</v>
      </c>
      <c r="K17" s="89" t="s">
        <v>132</v>
      </c>
      <c r="N17" s="119" t="s">
        <v>540</v>
      </c>
      <c r="O17" s="93">
        <v>762</v>
      </c>
      <c r="P17" s="120" t="s">
        <v>541</v>
      </c>
      <c r="Y17" s="10"/>
      <c r="Z17" s="10"/>
      <c r="AG17" s="25" t="s">
        <v>1867</v>
      </c>
      <c r="AH17" s="13">
        <v>2310</v>
      </c>
      <c r="AM17" s="52" t="s">
        <v>757</v>
      </c>
      <c r="AN17" s="121" t="s">
        <v>160</v>
      </c>
      <c r="AO17" s="121" t="s">
        <v>1421</v>
      </c>
      <c r="AQ17" s="52" t="s">
        <v>755</v>
      </c>
      <c r="AR17" s="52" t="s">
        <v>1285</v>
      </c>
    </row>
    <row r="18" spans="1:44" ht="12" customHeight="1" thickBot="1">
      <c r="A18" s="81" t="s">
        <v>34</v>
      </c>
      <c r="B18" s="5"/>
      <c r="C18" s="5"/>
      <c r="D18" s="5"/>
      <c r="E18" s="4"/>
      <c r="F18" s="4"/>
      <c r="H18" s="84" t="s">
        <v>104</v>
      </c>
      <c r="J18" s="88" t="s">
        <v>169</v>
      </c>
      <c r="K18" s="89" t="s">
        <v>170</v>
      </c>
      <c r="N18" s="119" t="s">
        <v>445</v>
      </c>
      <c r="O18" s="93">
        <v>525</v>
      </c>
      <c r="P18" s="120" t="s">
        <v>446</v>
      </c>
      <c r="AG18" s="24" t="s">
        <v>619</v>
      </c>
      <c r="AH18" s="11">
        <v>2311</v>
      </c>
      <c r="AM18" s="52" t="s">
        <v>1286</v>
      </c>
      <c r="AN18" s="121" t="s">
        <v>140</v>
      </c>
      <c r="AO18" s="121" t="s">
        <v>1415</v>
      </c>
      <c r="AQ18" s="52" t="s">
        <v>756</v>
      </c>
      <c r="AR18" s="52" t="s">
        <v>757</v>
      </c>
    </row>
    <row r="19" spans="1:44" ht="12" customHeight="1" thickBot="1">
      <c r="A19" s="81" t="s">
        <v>35</v>
      </c>
      <c r="B19" s="5"/>
      <c r="C19" s="5"/>
      <c r="D19" s="5"/>
      <c r="E19" s="4"/>
      <c r="F19" s="4"/>
      <c r="H19" s="84" t="s">
        <v>105</v>
      </c>
      <c r="J19" s="88" t="s">
        <v>127</v>
      </c>
      <c r="K19" s="89" t="s">
        <v>128</v>
      </c>
      <c r="N19" s="119" t="s">
        <v>570</v>
      </c>
      <c r="O19" s="93">
        <v>89</v>
      </c>
      <c r="P19" s="120" t="s">
        <v>571</v>
      </c>
      <c r="AG19" s="25" t="s">
        <v>620</v>
      </c>
      <c r="AH19" s="13">
        <v>2312</v>
      </c>
      <c r="AM19" s="52" t="s">
        <v>1287</v>
      </c>
      <c r="AN19" s="121" t="s">
        <v>132</v>
      </c>
      <c r="AO19" s="121" t="s">
        <v>1411</v>
      </c>
      <c r="AQ19" s="52" t="s">
        <v>758</v>
      </c>
      <c r="AR19" s="52" t="s">
        <v>1286</v>
      </c>
    </row>
    <row r="20" spans="1:44" ht="12" customHeight="1" thickBot="1">
      <c r="A20" s="81" t="s">
        <v>36</v>
      </c>
      <c r="B20" s="5"/>
      <c r="C20" s="6"/>
      <c r="D20" s="5"/>
      <c r="E20" s="4"/>
      <c r="F20" s="4"/>
      <c r="H20" s="84" t="s">
        <v>106</v>
      </c>
      <c r="J20" s="88" t="s">
        <v>161</v>
      </c>
      <c r="K20" s="89" t="s">
        <v>162</v>
      </c>
      <c r="N20" s="119" t="s">
        <v>568</v>
      </c>
      <c r="O20" s="93">
        <v>85</v>
      </c>
      <c r="P20" s="120" t="s">
        <v>569</v>
      </c>
      <c r="AG20" s="27" t="s">
        <v>1862</v>
      </c>
      <c r="AH20" s="12">
        <v>2300</v>
      </c>
      <c r="AM20" s="52" t="s">
        <v>1288</v>
      </c>
      <c r="AN20" s="121" t="s">
        <v>128</v>
      </c>
      <c r="AO20" s="121" t="s">
        <v>1410</v>
      </c>
      <c r="AQ20" s="52" t="s">
        <v>759</v>
      </c>
      <c r="AR20" s="52" t="s">
        <v>1287</v>
      </c>
    </row>
    <row r="21" spans="1:44" ht="12" customHeight="1" thickBot="1">
      <c r="A21" s="81" t="s">
        <v>37</v>
      </c>
      <c r="B21" s="5"/>
      <c r="C21" s="6"/>
      <c r="D21" s="5"/>
      <c r="E21" s="4"/>
      <c r="F21" s="4"/>
      <c r="H21" s="84" t="s">
        <v>107</v>
      </c>
      <c r="J21" s="88" t="s">
        <v>159</v>
      </c>
      <c r="K21" s="89" t="s">
        <v>160</v>
      </c>
      <c r="N21" s="119" t="s">
        <v>554</v>
      </c>
      <c r="O21" s="93">
        <v>781</v>
      </c>
      <c r="P21" s="120" t="s">
        <v>555</v>
      </c>
      <c r="AG21" s="27" t="s">
        <v>595</v>
      </c>
      <c r="AH21" s="12">
        <v>3000</v>
      </c>
      <c r="AM21" s="52" t="s">
        <v>1289</v>
      </c>
      <c r="AN21" s="121" t="s">
        <v>170</v>
      </c>
      <c r="AO21" s="121" t="s">
        <v>1424</v>
      </c>
      <c r="AQ21" s="52" t="s">
        <v>760</v>
      </c>
      <c r="AR21" s="52" t="s">
        <v>1288</v>
      </c>
    </row>
    <row r="22" spans="1:44" ht="12" customHeight="1" thickBot="1">
      <c r="A22" s="81" t="s">
        <v>38</v>
      </c>
      <c r="B22" s="5"/>
      <c r="C22" s="6"/>
      <c r="D22" s="5"/>
      <c r="E22" s="4"/>
      <c r="F22" s="4"/>
      <c r="H22" s="84" t="s">
        <v>108</v>
      </c>
      <c r="J22" s="88" t="s">
        <v>151</v>
      </c>
      <c r="K22" s="89" t="s">
        <v>152</v>
      </c>
      <c r="N22" s="119" t="s">
        <v>449</v>
      </c>
      <c r="O22" s="93">
        <v>531</v>
      </c>
      <c r="P22" s="120" t="s">
        <v>450</v>
      </c>
      <c r="AG22" s="24" t="s">
        <v>1859</v>
      </c>
      <c r="AH22" s="11">
        <v>4000</v>
      </c>
      <c r="AM22" s="52" t="s">
        <v>763</v>
      </c>
      <c r="AN22" s="121" t="s">
        <v>134</v>
      </c>
      <c r="AO22" s="121" t="s">
        <v>1412</v>
      </c>
      <c r="AQ22" s="52" t="s">
        <v>761</v>
      </c>
      <c r="AR22" s="52" t="s">
        <v>1289</v>
      </c>
    </row>
    <row r="23" spans="1:44" ht="12" customHeight="1" thickBot="1">
      <c r="A23" s="81" t="s">
        <v>39</v>
      </c>
      <c r="B23" s="5"/>
      <c r="C23" s="6"/>
      <c r="D23" s="5"/>
      <c r="E23" s="4"/>
      <c r="F23" s="4"/>
      <c r="H23" s="84" t="s">
        <v>109</v>
      </c>
      <c r="J23" s="88" t="s">
        <v>165</v>
      </c>
      <c r="K23" s="89" t="s">
        <v>166</v>
      </c>
      <c r="N23" s="119" t="s">
        <v>476</v>
      </c>
      <c r="O23" s="93">
        <v>591</v>
      </c>
      <c r="P23" s="120" t="s">
        <v>477</v>
      </c>
      <c r="AG23" s="25" t="s">
        <v>599</v>
      </c>
      <c r="AH23" s="13">
        <v>4101</v>
      </c>
      <c r="AM23" s="52" t="s">
        <v>1290</v>
      </c>
      <c r="AN23" s="121" t="s">
        <v>172</v>
      </c>
      <c r="AO23" s="121" t="s">
        <v>1425</v>
      </c>
      <c r="AQ23" s="52" t="s">
        <v>762</v>
      </c>
      <c r="AR23" s="52" t="s">
        <v>763</v>
      </c>
    </row>
    <row r="24" spans="1:44" ht="12" customHeight="1" thickBot="1">
      <c r="A24" s="81" t="s">
        <v>40</v>
      </c>
      <c r="B24" s="5"/>
      <c r="C24" s="6"/>
      <c r="D24" s="5"/>
      <c r="E24" s="4"/>
      <c r="F24" s="4"/>
      <c r="H24" s="84" t="s">
        <v>1388</v>
      </c>
      <c r="J24" s="88" t="s">
        <v>155</v>
      </c>
      <c r="K24" s="89" t="s">
        <v>156</v>
      </c>
      <c r="N24" s="119" t="s">
        <v>532</v>
      </c>
      <c r="O24" s="93">
        <v>752</v>
      </c>
      <c r="P24" s="120" t="s">
        <v>533</v>
      </c>
      <c r="AG24" s="27" t="s">
        <v>1864</v>
      </c>
      <c r="AH24" s="12">
        <v>4100</v>
      </c>
      <c r="AM24" s="52" t="s">
        <v>1291</v>
      </c>
      <c r="AN24" s="121" t="s">
        <v>144</v>
      </c>
      <c r="AO24" s="121" t="s">
        <v>1417</v>
      </c>
      <c r="AQ24" s="52" t="s">
        <v>764</v>
      </c>
      <c r="AR24" s="52" t="s">
        <v>1290</v>
      </c>
    </row>
    <row r="25" spans="1:44" ht="12" customHeight="1" thickBot="1">
      <c r="A25" s="81" t="s">
        <v>41</v>
      </c>
      <c r="B25" s="5"/>
      <c r="C25" s="5"/>
      <c r="D25" s="5"/>
      <c r="E25" s="4"/>
      <c r="F25" s="4"/>
      <c r="H25" s="84" t="s">
        <v>110</v>
      </c>
      <c r="J25" s="88" t="s">
        <v>129</v>
      </c>
      <c r="K25" s="89" t="s">
        <v>130</v>
      </c>
      <c r="N25" s="119" t="s">
        <v>556</v>
      </c>
      <c r="O25" s="93">
        <v>782</v>
      </c>
      <c r="P25" s="120" t="s">
        <v>557</v>
      </c>
      <c r="AG25" s="24" t="s">
        <v>1860</v>
      </c>
      <c r="AH25" s="11">
        <v>5000</v>
      </c>
      <c r="AM25" s="52" t="s">
        <v>767</v>
      </c>
      <c r="AN25" s="121" t="s">
        <v>1602</v>
      </c>
      <c r="AO25" s="121" t="s">
        <v>1418</v>
      </c>
      <c r="AQ25" s="52" t="s">
        <v>765</v>
      </c>
      <c r="AR25" s="52" t="s">
        <v>1291</v>
      </c>
    </row>
    <row r="26" spans="1:44" ht="12" customHeight="1" thickBot="1">
      <c r="A26" s="81" t="s">
        <v>42</v>
      </c>
      <c r="B26" s="4"/>
      <c r="C26" s="4"/>
      <c r="D26" s="4"/>
      <c r="E26" s="4"/>
      <c r="F26" s="4"/>
      <c r="H26" s="59" t="s">
        <v>111</v>
      </c>
      <c r="J26" s="88" t="s">
        <v>167</v>
      </c>
      <c r="K26" s="89" t="s">
        <v>168</v>
      </c>
      <c r="N26" s="119" t="s">
        <v>526</v>
      </c>
      <c r="O26" s="93">
        <v>74</v>
      </c>
      <c r="P26" s="120" t="s">
        <v>527</v>
      </c>
      <c r="AG26" s="25" t="s">
        <v>600</v>
      </c>
      <c r="AH26" s="13">
        <v>5101</v>
      </c>
      <c r="AM26" s="52" t="s">
        <v>728</v>
      </c>
      <c r="AN26" s="121" t="s">
        <v>162</v>
      </c>
      <c r="AO26" s="121" t="s">
        <v>1422</v>
      </c>
      <c r="AQ26" s="52" t="s">
        <v>766</v>
      </c>
      <c r="AR26" s="52" t="s">
        <v>767</v>
      </c>
    </row>
    <row r="27" spans="1:44" ht="12" customHeight="1" thickTop="1" thickBot="1">
      <c r="A27" s="64" t="s">
        <v>43</v>
      </c>
      <c r="B27" s="4"/>
      <c r="C27" s="4"/>
      <c r="D27" s="4"/>
      <c r="E27" s="4"/>
      <c r="F27" s="4"/>
      <c r="J27" s="88" t="s">
        <v>143</v>
      </c>
      <c r="K27" s="89" t="s">
        <v>144</v>
      </c>
      <c r="N27" s="119" t="s">
        <v>437</v>
      </c>
      <c r="O27" s="93">
        <v>521</v>
      </c>
      <c r="P27" s="120" t="s">
        <v>438</v>
      </c>
      <c r="AG27" s="24" t="s">
        <v>603</v>
      </c>
      <c r="AH27" s="11">
        <v>5102</v>
      </c>
      <c r="AM27" s="52" t="s">
        <v>1292</v>
      </c>
      <c r="AN27" s="121" t="s">
        <v>152</v>
      </c>
      <c r="AO27" s="121" t="s">
        <v>1758</v>
      </c>
      <c r="AQ27" s="52" t="s">
        <v>768</v>
      </c>
      <c r="AR27" s="52" t="s">
        <v>728</v>
      </c>
    </row>
    <row r="28" spans="1:44" ht="12" customHeight="1" thickTop="1" thickBot="1">
      <c r="A28" s="4"/>
      <c r="B28" s="4"/>
      <c r="C28" s="4"/>
      <c r="D28" s="4"/>
      <c r="E28" s="4"/>
      <c r="F28" s="4"/>
      <c r="J28" s="88" t="s">
        <v>371</v>
      </c>
      <c r="K28" s="89" t="s">
        <v>372</v>
      </c>
      <c r="N28" s="119" t="s">
        <v>534</v>
      </c>
      <c r="O28" s="93">
        <v>753</v>
      </c>
      <c r="P28" s="120" t="s">
        <v>535</v>
      </c>
      <c r="AG28" s="25" t="s">
        <v>605</v>
      </c>
      <c r="AH28" s="13">
        <v>5103</v>
      </c>
      <c r="AM28" s="52" t="s">
        <v>1293</v>
      </c>
      <c r="AN28" s="121" t="s">
        <v>156</v>
      </c>
      <c r="AO28" s="121" t="s">
        <v>1759</v>
      </c>
      <c r="AQ28" s="52" t="s">
        <v>769</v>
      </c>
      <c r="AR28" s="52" t="s">
        <v>1292</v>
      </c>
    </row>
    <row r="29" spans="1:44" ht="12" customHeight="1" thickBot="1">
      <c r="A29" s="4"/>
      <c r="B29" s="4"/>
      <c r="C29" s="4"/>
      <c r="D29" s="4"/>
      <c r="E29" s="4"/>
      <c r="F29" s="4"/>
      <c r="J29" s="88" t="s">
        <v>381</v>
      </c>
      <c r="K29" s="89" t="s">
        <v>382</v>
      </c>
      <c r="N29" s="119" t="s">
        <v>572</v>
      </c>
      <c r="O29" s="93">
        <v>90</v>
      </c>
      <c r="P29" s="120" t="s">
        <v>573</v>
      </c>
      <c r="AG29" s="24" t="s">
        <v>1865</v>
      </c>
      <c r="AH29" s="11">
        <v>5100</v>
      </c>
      <c r="AM29" s="52" t="s">
        <v>772</v>
      </c>
      <c r="AN29" s="121" t="s">
        <v>126</v>
      </c>
      <c r="AO29" s="121" t="s">
        <v>1760</v>
      </c>
      <c r="AQ29" s="52" t="s">
        <v>770</v>
      </c>
      <c r="AR29" s="52" t="s">
        <v>1293</v>
      </c>
    </row>
    <row r="30" spans="1:44" ht="12" customHeight="1" thickBot="1">
      <c r="A30" s="4"/>
      <c r="B30" s="4"/>
      <c r="C30" s="4"/>
      <c r="D30" s="4"/>
      <c r="E30" s="4"/>
      <c r="F30" s="4"/>
      <c r="J30" s="88" t="s">
        <v>375</v>
      </c>
      <c r="K30" s="89" t="s">
        <v>376</v>
      </c>
      <c r="N30" s="119" t="s">
        <v>478</v>
      </c>
      <c r="O30" s="93">
        <v>592</v>
      </c>
      <c r="P30" s="120" t="s">
        <v>479</v>
      </c>
      <c r="AG30" s="25" t="s">
        <v>608</v>
      </c>
      <c r="AH30" s="13">
        <v>5201</v>
      </c>
      <c r="AM30" s="52" t="s">
        <v>774</v>
      </c>
      <c r="AN30" s="121" t="s">
        <v>1603</v>
      </c>
      <c r="AO30" s="121" t="s">
        <v>1271</v>
      </c>
      <c r="AQ30" s="52" t="s">
        <v>771</v>
      </c>
      <c r="AR30" s="52" t="s">
        <v>772</v>
      </c>
    </row>
    <row r="31" spans="1:44" ht="12" customHeight="1" thickBot="1">
      <c r="A31" s="4"/>
      <c r="B31" s="4"/>
      <c r="C31" s="4"/>
      <c r="D31" s="4"/>
      <c r="E31" s="4"/>
      <c r="F31" s="4"/>
      <c r="J31" s="88" t="s">
        <v>385</v>
      </c>
      <c r="K31" s="89" t="s">
        <v>386</v>
      </c>
      <c r="N31" s="119" t="s">
        <v>538</v>
      </c>
      <c r="O31" s="93">
        <v>761</v>
      </c>
      <c r="P31" s="120" t="s">
        <v>539</v>
      </c>
      <c r="AG31" s="24" t="s">
        <v>610</v>
      </c>
      <c r="AH31" s="11">
        <v>5202</v>
      </c>
      <c r="AM31" s="52" t="s">
        <v>776</v>
      </c>
      <c r="AN31" s="121" t="s">
        <v>166</v>
      </c>
      <c r="AO31" s="121" t="s">
        <v>1423</v>
      </c>
      <c r="AQ31" s="52" t="s">
        <v>773</v>
      </c>
      <c r="AR31" s="52" t="s">
        <v>774</v>
      </c>
    </row>
    <row r="32" spans="1:44" ht="12" customHeight="1" thickBot="1">
      <c r="A32" s="4"/>
      <c r="B32" s="4"/>
      <c r="C32" s="4"/>
      <c r="D32" s="4"/>
      <c r="E32" s="4"/>
      <c r="F32" s="4"/>
      <c r="J32" s="88" t="s">
        <v>383</v>
      </c>
      <c r="K32" s="89" t="s">
        <v>384</v>
      </c>
      <c r="N32" s="119" t="s">
        <v>528</v>
      </c>
      <c r="O32" s="93">
        <v>75</v>
      </c>
      <c r="P32" s="120" t="s">
        <v>529</v>
      </c>
      <c r="AG32" s="25" t="s">
        <v>1861</v>
      </c>
      <c r="AH32" s="13">
        <v>5200</v>
      </c>
      <c r="AM32" s="52" t="s">
        <v>778</v>
      </c>
      <c r="AN32" s="121" t="s">
        <v>158</v>
      </c>
      <c r="AO32" s="121" t="s">
        <v>1420</v>
      </c>
      <c r="AQ32" s="52" t="s">
        <v>775</v>
      </c>
      <c r="AR32" s="52" t="s">
        <v>776</v>
      </c>
    </row>
    <row r="33" spans="1:44" ht="12" customHeight="1" thickBot="1">
      <c r="A33" s="4"/>
      <c r="B33" s="4"/>
      <c r="C33" s="4"/>
      <c r="D33" s="4"/>
      <c r="E33" s="4"/>
      <c r="F33" s="4"/>
      <c r="J33" s="88" t="s">
        <v>377</v>
      </c>
      <c r="K33" s="89" t="s">
        <v>378</v>
      </c>
      <c r="N33" s="119" t="s">
        <v>417</v>
      </c>
      <c r="O33" s="93">
        <v>511</v>
      </c>
      <c r="P33" s="120" t="s">
        <v>418</v>
      </c>
      <c r="AG33" s="24" t="s">
        <v>613</v>
      </c>
      <c r="AH33" s="11">
        <v>5301</v>
      </c>
      <c r="AM33" s="52" t="s">
        <v>780</v>
      </c>
      <c r="AN33" s="121" t="s">
        <v>1604</v>
      </c>
      <c r="AO33" s="121" t="s">
        <v>1476</v>
      </c>
      <c r="AQ33" s="52" t="s">
        <v>777</v>
      </c>
      <c r="AR33" s="52" t="s">
        <v>778</v>
      </c>
    </row>
    <row r="34" spans="1:44" ht="12" customHeight="1" thickBot="1">
      <c r="A34" s="4"/>
      <c r="B34" s="4"/>
      <c r="C34" s="4"/>
      <c r="D34" s="4"/>
      <c r="E34" s="4"/>
      <c r="F34" s="4"/>
      <c r="J34" s="88" t="s">
        <v>139</v>
      </c>
      <c r="K34" s="89" t="s">
        <v>140</v>
      </c>
      <c r="N34" s="119" t="s">
        <v>402</v>
      </c>
      <c r="O34" s="93">
        <v>50</v>
      </c>
      <c r="P34" s="120" t="s">
        <v>403</v>
      </c>
      <c r="AG34" s="25" t="s">
        <v>615</v>
      </c>
      <c r="AH34" s="13">
        <v>5302</v>
      </c>
      <c r="AM34" s="52" t="s">
        <v>782</v>
      </c>
      <c r="AN34" s="121" t="s">
        <v>150</v>
      </c>
      <c r="AO34" s="121" t="s">
        <v>1419</v>
      </c>
      <c r="AQ34" s="52" t="s">
        <v>779</v>
      </c>
      <c r="AR34" s="52" t="s">
        <v>780</v>
      </c>
    </row>
    <row r="35" spans="1:44" ht="12" customHeight="1" thickBot="1">
      <c r="A35" s="4"/>
      <c r="B35" s="4"/>
      <c r="C35" s="4"/>
      <c r="D35" s="4"/>
      <c r="E35" s="4"/>
      <c r="F35" s="4"/>
      <c r="J35" s="88" t="s">
        <v>133</v>
      </c>
      <c r="K35" s="89" t="s">
        <v>134</v>
      </c>
      <c r="N35" s="119" t="s">
        <v>404</v>
      </c>
      <c r="O35" s="93">
        <v>501</v>
      </c>
      <c r="P35" s="120" t="s">
        <v>405</v>
      </c>
      <c r="AG35" s="24" t="s">
        <v>617</v>
      </c>
      <c r="AH35" s="11">
        <v>5303</v>
      </c>
      <c r="AM35" s="52" t="s">
        <v>784</v>
      </c>
      <c r="AN35" s="121" t="s">
        <v>138</v>
      </c>
      <c r="AO35" s="121" t="s">
        <v>1414</v>
      </c>
      <c r="AQ35" s="52" t="s">
        <v>781</v>
      </c>
      <c r="AR35" s="52" t="s">
        <v>782</v>
      </c>
    </row>
    <row r="36" spans="1:44" ht="12" customHeight="1" thickBot="1">
      <c r="A36" s="4"/>
      <c r="B36" s="4"/>
      <c r="C36" s="4"/>
      <c r="D36" s="4"/>
      <c r="E36" s="4"/>
      <c r="F36" s="4"/>
      <c r="J36" s="88" t="s">
        <v>163</v>
      </c>
      <c r="K36" s="89" t="s">
        <v>164</v>
      </c>
      <c r="N36" s="119" t="s">
        <v>443</v>
      </c>
      <c r="O36" s="93">
        <v>524</v>
      </c>
      <c r="P36" s="120" t="s">
        <v>444</v>
      </c>
      <c r="AG36" s="25" t="s">
        <v>618</v>
      </c>
      <c r="AH36" s="13">
        <v>5304</v>
      </c>
      <c r="AM36" s="52" t="s">
        <v>786</v>
      </c>
      <c r="AN36" s="121" t="s">
        <v>136</v>
      </c>
      <c r="AO36" s="121" t="s">
        <v>1413</v>
      </c>
      <c r="AQ36" s="52" t="s">
        <v>783</v>
      </c>
      <c r="AR36" s="52" t="s">
        <v>784</v>
      </c>
    </row>
    <row r="37" spans="1:44" ht="12" customHeight="1" thickBot="1">
      <c r="A37" s="4"/>
      <c r="B37" s="4"/>
      <c r="C37" s="4"/>
      <c r="D37" s="4"/>
      <c r="E37" s="4"/>
      <c r="F37" s="4"/>
      <c r="J37" s="88" t="s">
        <v>183</v>
      </c>
      <c r="K37" s="89" t="s">
        <v>184</v>
      </c>
      <c r="N37" s="119" t="s">
        <v>431</v>
      </c>
      <c r="O37" s="93">
        <v>518</v>
      </c>
      <c r="P37" s="120" t="s">
        <v>432</v>
      </c>
      <c r="AG37" s="28" t="s">
        <v>1866</v>
      </c>
      <c r="AH37" s="16">
        <v>5300</v>
      </c>
      <c r="AM37" s="52" t="s">
        <v>788</v>
      </c>
      <c r="AN37" s="121" t="s">
        <v>142</v>
      </c>
      <c r="AO37" s="121" t="s">
        <v>1416</v>
      </c>
      <c r="AQ37" s="52" t="s">
        <v>785</v>
      </c>
      <c r="AR37" s="52" t="s">
        <v>786</v>
      </c>
    </row>
    <row r="38" spans="1:44" ht="12" customHeight="1" thickBot="1">
      <c r="A38" s="4"/>
      <c r="B38" s="4"/>
      <c r="C38" s="4"/>
      <c r="D38" s="4"/>
      <c r="E38" s="4"/>
      <c r="F38" s="4"/>
      <c r="J38" s="88" t="s">
        <v>209</v>
      </c>
      <c r="K38" s="89" t="s">
        <v>210</v>
      </c>
      <c r="N38" s="119" t="s">
        <v>498</v>
      </c>
      <c r="O38" s="93">
        <v>607</v>
      </c>
      <c r="P38" s="120" t="s">
        <v>499</v>
      </c>
      <c r="AM38" s="52" t="s">
        <v>790</v>
      </c>
      <c r="AN38" s="121" t="s">
        <v>1605</v>
      </c>
      <c r="AO38" s="121" t="s">
        <v>1484</v>
      </c>
      <c r="AQ38" s="52" t="s">
        <v>787</v>
      </c>
      <c r="AR38" s="52" t="s">
        <v>788</v>
      </c>
    </row>
    <row r="39" spans="1:44" ht="12" customHeight="1" thickBot="1">
      <c r="A39" s="4"/>
      <c r="B39" s="4"/>
      <c r="C39" s="4"/>
      <c r="D39" s="4"/>
      <c r="E39" s="4"/>
      <c r="F39" s="4"/>
      <c r="J39" s="88" t="s">
        <v>173</v>
      </c>
      <c r="K39" s="89" t="s">
        <v>174</v>
      </c>
      <c r="N39" s="119" t="s">
        <v>574</v>
      </c>
      <c r="O39" s="93">
        <v>91</v>
      </c>
      <c r="P39" s="120" t="s">
        <v>575</v>
      </c>
      <c r="AM39" s="52" t="s">
        <v>792</v>
      </c>
      <c r="AN39" s="121" t="s">
        <v>1606</v>
      </c>
      <c r="AO39" s="121" t="s">
        <v>1433</v>
      </c>
      <c r="AQ39" s="52" t="s">
        <v>789</v>
      </c>
      <c r="AR39" s="52" t="s">
        <v>790</v>
      </c>
    </row>
    <row r="40" spans="1:44" ht="12" customHeight="1" thickBot="1">
      <c r="A40" s="4"/>
      <c r="B40" s="4"/>
      <c r="C40" s="4"/>
      <c r="D40" s="4"/>
      <c r="E40" s="4"/>
      <c r="F40" s="4"/>
      <c r="J40" s="88" t="s">
        <v>187</v>
      </c>
      <c r="K40" s="89" t="s">
        <v>188</v>
      </c>
      <c r="N40" s="119" t="s">
        <v>520</v>
      </c>
      <c r="O40" s="93">
        <v>728</v>
      </c>
      <c r="P40" s="120" t="s">
        <v>521</v>
      </c>
      <c r="AM40" s="52" t="s">
        <v>1294</v>
      </c>
      <c r="AN40" s="121" t="s">
        <v>174</v>
      </c>
      <c r="AO40" s="121" t="s">
        <v>1426</v>
      </c>
      <c r="AQ40" s="52" t="s">
        <v>791</v>
      </c>
      <c r="AR40" s="52" t="s">
        <v>792</v>
      </c>
    </row>
    <row r="41" spans="1:44" ht="12" customHeight="1" thickBot="1">
      <c r="A41" s="4"/>
      <c r="B41" s="4"/>
      <c r="C41" s="4"/>
      <c r="D41" s="4"/>
      <c r="E41" s="4"/>
      <c r="F41" s="4"/>
      <c r="J41" s="88" t="s">
        <v>213</v>
      </c>
      <c r="K41" s="89" t="s">
        <v>214</v>
      </c>
      <c r="N41" s="119" t="s">
        <v>429</v>
      </c>
      <c r="O41" s="93">
        <v>517</v>
      </c>
      <c r="P41" s="120" t="s">
        <v>430</v>
      </c>
      <c r="AM41" s="52" t="s">
        <v>795</v>
      </c>
      <c r="AN41" s="121" t="s">
        <v>208</v>
      </c>
      <c r="AO41" s="121" t="s">
        <v>1437</v>
      </c>
      <c r="AQ41" s="52" t="s">
        <v>793</v>
      </c>
      <c r="AR41" s="52" t="s">
        <v>1294</v>
      </c>
    </row>
    <row r="42" spans="1:44" ht="12" customHeight="1" thickBot="1">
      <c r="A42" s="4"/>
      <c r="B42" s="4"/>
      <c r="C42" s="4"/>
      <c r="D42" s="4"/>
      <c r="E42" s="4"/>
      <c r="F42" s="4"/>
      <c r="J42" s="88" t="s">
        <v>195</v>
      </c>
      <c r="K42" s="89" t="s">
        <v>196</v>
      </c>
      <c r="N42" s="119" t="s">
        <v>457</v>
      </c>
      <c r="O42" s="93">
        <v>54</v>
      </c>
      <c r="P42" s="120" t="s">
        <v>458</v>
      </c>
      <c r="AM42" s="52" t="s">
        <v>1295</v>
      </c>
      <c r="AN42" s="121" t="s">
        <v>1607</v>
      </c>
      <c r="AO42" s="121" t="s">
        <v>1487</v>
      </c>
      <c r="AQ42" s="52" t="s">
        <v>794</v>
      </c>
      <c r="AR42" s="52" t="s">
        <v>795</v>
      </c>
    </row>
    <row r="43" spans="1:44" ht="12" customHeight="1" thickBot="1">
      <c r="A43" s="4"/>
      <c r="B43" s="4"/>
      <c r="C43" s="4"/>
      <c r="D43" s="4"/>
      <c r="E43" s="4"/>
      <c r="F43" s="4"/>
      <c r="J43" s="88" t="s">
        <v>197</v>
      </c>
      <c r="K43" s="89" t="s">
        <v>198</v>
      </c>
      <c r="N43" s="119" t="s">
        <v>423</v>
      </c>
      <c r="O43" s="93">
        <v>514</v>
      </c>
      <c r="P43" s="120" t="s">
        <v>424</v>
      </c>
      <c r="AM43" s="52" t="s">
        <v>800</v>
      </c>
      <c r="AN43" s="121" t="s">
        <v>182</v>
      </c>
      <c r="AO43" s="121" t="s">
        <v>1428</v>
      </c>
      <c r="AQ43" s="52" t="s">
        <v>796</v>
      </c>
      <c r="AR43" s="52" t="s">
        <v>1295</v>
      </c>
    </row>
    <row r="44" spans="1:44" ht="12" customHeight="1" thickBot="1">
      <c r="A44" s="4"/>
      <c r="B44" s="4"/>
      <c r="C44" s="4"/>
      <c r="D44" s="4"/>
      <c r="E44" s="4"/>
      <c r="F44" s="4"/>
      <c r="J44" s="88" t="s">
        <v>203</v>
      </c>
      <c r="K44" s="89" t="s">
        <v>204</v>
      </c>
      <c r="N44" s="119" t="s">
        <v>461</v>
      </c>
      <c r="O44" s="93">
        <v>542</v>
      </c>
      <c r="P44" s="120" t="s">
        <v>462</v>
      </c>
      <c r="AM44" s="52" t="s">
        <v>802</v>
      </c>
      <c r="AN44" s="121" t="s">
        <v>351</v>
      </c>
      <c r="AO44" s="121" t="s">
        <v>1550</v>
      </c>
      <c r="AQ44" s="52" t="s">
        <v>799</v>
      </c>
      <c r="AR44" s="52" t="s">
        <v>800</v>
      </c>
    </row>
    <row r="45" spans="1:44" ht="12" customHeight="1" thickBot="1">
      <c r="A45" s="4"/>
      <c r="B45" s="4"/>
      <c r="C45" s="4"/>
      <c r="D45" s="4"/>
      <c r="E45" s="4"/>
      <c r="F45" s="4"/>
      <c r="J45" s="88" t="s">
        <v>201</v>
      </c>
      <c r="K45" s="89" t="s">
        <v>202</v>
      </c>
      <c r="N45" s="119" t="s">
        <v>463</v>
      </c>
      <c r="O45" s="93">
        <v>543</v>
      </c>
      <c r="P45" s="120" t="s">
        <v>579</v>
      </c>
      <c r="AM45" s="52" t="s">
        <v>804</v>
      </c>
      <c r="AN45" s="121" t="s">
        <v>194</v>
      </c>
      <c r="AO45" s="121" t="s">
        <v>1432</v>
      </c>
      <c r="AQ45" s="52" t="s">
        <v>801</v>
      </c>
      <c r="AR45" s="52" t="s">
        <v>802</v>
      </c>
    </row>
    <row r="46" spans="1:44" ht="12" customHeight="1" thickBot="1">
      <c r="A46" s="4"/>
      <c r="B46" s="4"/>
      <c r="C46" s="4"/>
      <c r="D46" s="4"/>
      <c r="E46" s="4"/>
      <c r="F46" s="4"/>
      <c r="J46" s="88" t="s">
        <v>191</v>
      </c>
      <c r="K46" s="89" t="s">
        <v>192</v>
      </c>
      <c r="N46" s="119" t="s">
        <v>459</v>
      </c>
      <c r="O46" s="93">
        <v>541</v>
      </c>
      <c r="P46" s="120" t="s">
        <v>460</v>
      </c>
      <c r="AM46" s="52" t="s">
        <v>806</v>
      </c>
      <c r="AN46" s="121" t="s">
        <v>1608</v>
      </c>
      <c r="AO46" s="121" t="s">
        <v>1259</v>
      </c>
      <c r="AQ46" s="52" t="s">
        <v>803</v>
      </c>
      <c r="AR46" s="52" t="s">
        <v>804</v>
      </c>
    </row>
    <row r="47" spans="1:44" ht="12" customHeight="1" thickBot="1">
      <c r="A47" s="4"/>
      <c r="B47" s="4"/>
      <c r="C47" s="4"/>
      <c r="D47" s="4"/>
      <c r="E47" s="4"/>
      <c r="F47" s="4"/>
      <c r="J47" s="88" t="s">
        <v>185</v>
      </c>
      <c r="K47" s="89" t="s">
        <v>186</v>
      </c>
      <c r="N47" s="119" t="s">
        <v>468</v>
      </c>
      <c r="O47" s="93">
        <v>552</v>
      </c>
      <c r="P47" s="120" t="s">
        <v>469</v>
      </c>
      <c r="AM47" s="52" t="s">
        <v>1296</v>
      </c>
      <c r="AN47" s="121" t="s">
        <v>210</v>
      </c>
      <c r="AO47" s="121" t="s">
        <v>1438</v>
      </c>
      <c r="AQ47" s="52" t="s">
        <v>805</v>
      </c>
      <c r="AR47" s="52" t="s">
        <v>806</v>
      </c>
    </row>
    <row r="48" spans="1:44" ht="12" customHeight="1" thickBot="1">
      <c r="A48" s="4"/>
      <c r="B48" s="4"/>
      <c r="C48" s="4"/>
      <c r="D48" s="4"/>
      <c r="E48" s="4"/>
      <c r="F48" s="4"/>
      <c r="J48" s="88" t="s">
        <v>177</v>
      </c>
      <c r="K48" s="89" t="s">
        <v>178</v>
      </c>
      <c r="N48" s="119" t="s">
        <v>550</v>
      </c>
      <c r="O48" s="93">
        <v>77</v>
      </c>
      <c r="P48" s="120" t="s">
        <v>551</v>
      </c>
      <c r="AM48" s="52" t="s">
        <v>809</v>
      </c>
      <c r="AN48" s="121" t="s">
        <v>178</v>
      </c>
      <c r="AO48" s="121" t="s">
        <v>1427</v>
      </c>
      <c r="AQ48" s="52" t="s">
        <v>807</v>
      </c>
      <c r="AR48" s="52" t="s">
        <v>1296</v>
      </c>
    </row>
    <row r="49" spans="1:44" ht="12" customHeight="1" thickBot="1">
      <c r="A49" s="4"/>
      <c r="B49" s="4"/>
      <c r="C49" s="4"/>
      <c r="D49" s="4"/>
      <c r="E49" s="4"/>
      <c r="F49" s="4"/>
      <c r="J49" s="88" t="s">
        <v>181</v>
      </c>
      <c r="K49" s="89" t="s">
        <v>182</v>
      </c>
      <c r="N49" s="119" t="s">
        <v>510</v>
      </c>
      <c r="O49" s="93">
        <v>723</v>
      </c>
      <c r="P49" s="120" t="s">
        <v>511</v>
      </c>
      <c r="AM49" s="52" t="s">
        <v>811</v>
      </c>
      <c r="AN49" s="121" t="s">
        <v>1588</v>
      </c>
      <c r="AO49" s="121" t="s">
        <v>1400</v>
      </c>
      <c r="AQ49" s="52" t="s">
        <v>808</v>
      </c>
      <c r="AR49" s="52" t="s">
        <v>809</v>
      </c>
    </row>
    <row r="50" spans="1:44" ht="12" customHeight="1" thickBot="1">
      <c r="A50" s="4"/>
      <c r="B50" s="4"/>
      <c r="C50" s="4"/>
      <c r="D50" s="4"/>
      <c r="E50" s="4"/>
      <c r="F50" s="4"/>
      <c r="J50" s="88" t="s">
        <v>189</v>
      </c>
      <c r="K50" s="89" t="s">
        <v>190</v>
      </c>
      <c r="N50" s="119" t="s">
        <v>455</v>
      </c>
      <c r="O50" s="93">
        <v>534</v>
      </c>
      <c r="P50" s="120" t="s">
        <v>456</v>
      </c>
      <c r="AM50" s="52" t="s">
        <v>813</v>
      </c>
      <c r="AN50" s="121" t="s">
        <v>1609</v>
      </c>
      <c r="AO50" s="121" t="s">
        <v>1761</v>
      </c>
      <c r="AQ50" s="52" t="s">
        <v>810</v>
      </c>
      <c r="AR50" s="52" t="s">
        <v>811</v>
      </c>
    </row>
    <row r="51" spans="1:44" ht="12" customHeight="1" thickBot="1">
      <c r="A51" s="4"/>
      <c r="B51" s="4"/>
      <c r="C51" s="4"/>
      <c r="D51" s="4"/>
      <c r="E51" s="4"/>
      <c r="F51" s="4"/>
      <c r="J51" s="88" t="s">
        <v>193</v>
      </c>
      <c r="K51" s="89" t="s">
        <v>194</v>
      </c>
      <c r="N51" s="119" t="s">
        <v>494</v>
      </c>
      <c r="O51" s="93">
        <v>605</v>
      </c>
      <c r="P51" s="120" t="s">
        <v>495</v>
      </c>
      <c r="AM51" s="52" t="s">
        <v>1297</v>
      </c>
      <c r="AN51" s="121" t="s">
        <v>1589</v>
      </c>
      <c r="AO51" s="121" t="s">
        <v>1403</v>
      </c>
      <c r="AQ51" s="52" t="s">
        <v>812</v>
      </c>
      <c r="AR51" s="52" t="s">
        <v>813</v>
      </c>
    </row>
    <row r="52" spans="1:44" ht="12" customHeight="1" thickBot="1">
      <c r="A52" s="4"/>
      <c r="B52" s="4"/>
      <c r="C52" s="4"/>
      <c r="D52" s="4"/>
      <c r="E52" s="4"/>
      <c r="F52" s="4"/>
      <c r="J52" s="88" t="s">
        <v>352</v>
      </c>
      <c r="K52" s="89" t="s">
        <v>351</v>
      </c>
      <c r="N52" s="119" t="s">
        <v>496</v>
      </c>
      <c r="O52" s="93">
        <v>606</v>
      </c>
      <c r="P52" s="120" t="s">
        <v>497</v>
      </c>
      <c r="AM52" s="52" t="s">
        <v>1298</v>
      </c>
      <c r="AN52" s="121" t="s">
        <v>1590</v>
      </c>
      <c r="AO52" s="121" t="s">
        <v>1445</v>
      </c>
      <c r="AQ52" s="52" t="s">
        <v>814</v>
      </c>
      <c r="AR52" s="52" t="s">
        <v>1297</v>
      </c>
    </row>
    <row r="53" spans="1:44" ht="12" customHeight="1" thickBot="1">
      <c r="A53" s="4"/>
      <c r="B53" s="4"/>
      <c r="C53" s="4"/>
      <c r="D53" s="4"/>
      <c r="E53" s="4"/>
      <c r="F53" s="4"/>
      <c r="J53" s="88" t="s">
        <v>207</v>
      </c>
      <c r="K53" s="89" t="s">
        <v>208</v>
      </c>
      <c r="N53" s="119" t="s">
        <v>439</v>
      </c>
      <c r="O53" s="93">
        <v>522</v>
      </c>
      <c r="P53" s="120" t="s">
        <v>440</v>
      </c>
      <c r="AM53" s="52" t="s">
        <v>721</v>
      </c>
      <c r="AN53" s="121" t="s">
        <v>1591</v>
      </c>
      <c r="AO53" s="121" t="s">
        <v>1407</v>
      </c>
      <c r="AQ53" s="52" t="s">
        <v>815</v>
      </c>
      <c r="AR53" s="52" t="s">
        <v>1298</v>
      </c>
    </row>
    <row r="54" spans="1:44" ht="12" customHeight="1" thickBot="1">
      <c r="A54" s="4"/>
      <c r="B54" s="4"/>
      <c r="C54" s="4"/>
      <c r="D54" s="4"/>
      <c r="E54" s="4"/>
      <c r="F54" s="4"/>
      <c r="J54" s="88" t="s">
        <v>199</v>
      </c>
      <c r="K54" s="89" t="s">
        <v>200</v>
      </c>
      <c r="N54" s="119" t="s">
        <v>480</v>
      </c>
      <c r="O54" s="93">
        <v>593</v>
      </c>
      <c r="P54" s="120" t="s">
        <v>481</v>
      </c>
      <c r="AM54" s="52" t="s">
        <v>818</v>
      </c>
      <c r="AN54" s="121" t="s">
        <v>1592</v>
      </c>
      <c r="AO54" s="121" t="s">
        <v>1398</v>
      </c>
      <c r="AQ54" s="52" t="s">
        <v>816</v>
      </c>
      <c r="AR54" s="52" t="s">
        <v>721</v>
      </c>
    </row>
    <row r="55" spans="1:44" ht="12" customHeight="1" thickBot="1">
      <c r="A55" s="4"/>
      <c r="B55" s="4"/>
      <c r="C55" s="4"/>
      <c r="D55" s="4"/>
      <c r="E55" s="4"/>
      <c r="F55" s="4"/>
      <c r="J55" s="88" t="s">
        <v>179</v>
      </c>
      <c r="K55" s="89" t="s">
        <v>180</v>
      </c>
      <c r="N55" s="119" t="s">
        <v>500</v>
      </c>
      <c r="O55" s="93">
        <v>70</v>
      </c>
      <c r="P55" s="120" t="s">
        <v>501</v>
      </c>
      <c r="AM55" s="52" t="s">
        <v>820</v>
      </c>
      <c r="AN55" s="121" t="s">
        <v>1593</v>
      </c>
      <c r="AO55" s="121" t="s">
        <v>1404</v>
      </c>
      <c r="AQ55" s="52" t="s">
        <v>817</v>
      </c>
      <c r="AR55" s="52" t="s">
        <v>818</v>
      </c>
    </row>
    <row r="56" spans="1:44" ht="12" customHeight="1" thickBot="1">
      <c r="A56" s="4"/>
      <c r="B56" s="4"/>
      <c r="C56" s="4"/>
      <c r="D56" s="4"/>
      <c r="E56" s="4"/>
      <c r="F56" s="4"/>
      <c r="J56" s="88" t="s">
        <v>205</v>
      </c>
      <c r="K56" s="89" t="s">
        <v>206</v>
      </c>
      <c r="N56" s="119" t="s">
        <v>464</v>
      </c>
      <c r="O56" s="93">
        <v>55</v>
      </c>
      <c r="P56" s="120" t="s">
        <v>465</v>
      </c>
      <c r="AM56" s="52" t="s">
        <v>823</v>
      </c>
      <c r="AN56" s="121" t="s">
        <v>1594</v>
      </c>
      <c r="AO56" s="121" t="s">
        <v>1402</v>
      </c>
      <c r="AQ56" s="52" t="s">
        <v>819</v>
      </c>
      <c r="AR56" s="52" t="s">
        <v>820</v>
      </c>
    </row>
    <row r="57" spans="1:44" ht="12" customHeight="1" thickBot="1">
      <c r="A57" s="4"/>
      <c r="B57" s="4"/>
      <c r="C57" s="4"/>
      <c r="D57" s="4"/>
      <c r="E57" s="4"/>
      <c r="F57" s="4"/>
      <c r="J57" s="88" t="s">
        <v>211</v>
      </c>
      <c r="K57" s="89" t="s">
        <v>212</v>
      </c>
      <c r="N57" s="119" t="s">
        <v>474</v>
      </c>
      <c r="O57" s="93">
        <v>59</v>
      </c>
      <c r="P57" s="120" t="s">
        <v>475</v>
      </c>
      <c r="AM57" s="52" t="s">
        <v>825</v>
      </c>
      <c r="AN57" s="121" t="s">
        <v>1595</v>
      </c>
      <c r="AO57" s="121" t="s">
        <v>1405</v>
      </c>
      <c r="AQ57" s="52" t="s">
        <v>822</v>
      </c>
      <c r="AR57" s="52" t="s">
        <v>823</v>
      </c>
    </row>
    <row r="58" spans="1:44" ht="12" customHeight="1" thickBot="1">
      <c r="A58" s="4"/>
      <c r="B58" s="4"/>
      <c r="C58" s="4"/>
      <c r="D58" s="4"/>
      <c r="E58" s="4"/>
      <c r="F58" s="4"/>
      <c r="J58" s="88" t="s">
        <v>215</v>
      </c>
      <c r="K58" s="89" t="s">
        <v>216</v>
      </c>
      <c r="N58" s="119" t="s">
        <v>482</v>
      </c>
      <c r="O58" s="93">
        <v>594</v>
      </c>
      <c r="P58" s="120" t="s">
        <v>483</v>
      </c>
      <c r="AM58" s="52" t="s">
        <v>827</v>
      </c>
      <c r="AN58" s="121" t="s">
        <v>1596</v>
      </c>
      <c r="AO58" s="121" t="s">
        <v>1401</v>
      </c>
      <c r="AQ58" s="52" t="s">
        <v>824</v>
      </c>
      <c r="AR58" s="52" t="s">
        <v>825</v>
      </c>
    </row>
    <row r="59" spans="1:44" ht="12" customHeight="1" thickBot="1">
      <c r="A59" s="4"/>
      <c r="B59" s="4"/>
      <c r="C59" s="4"/>
      <c r="D59" s="4"/>
      <c r="E59" s="4"/>
      <c r="F59" s="4"/>
      <c r="J59" s="88" t="s">
        <v>217</v>
      </c>
      <c r="K59" s="89" t="s">
        <v>218</v>
      </c>
      <c r="N59" s="119" t="s">
        <v>504</v>
      </c>
      <c r="O59" s="93">
        <v>712</v>
      </c>
      <c r="P59" s="120" t="s">
        <v>505</v>
      </c>
      <c r="AM59" s="52" t="s">
        <v>829</v>
      </c>
      <c r="AN59" s="121" t="s">
        <v>1597</v>
      </c>
      <c r="AO59" s="121" t="s">
        <v>1406</v>
      </c>
      <c r="AQ59" s="52" t="s">
        <v>826</v>
      </c>
      <c r="AR59" s="52" t="s">
        <v>827</v>
      </c>
    </row>
    <row r="60" spans="1:44" ht="12" customHeight="1" thickBot="1">
      <c r="A60" s="4"/>
      <c r="B60" s="4"/>
      <c r="C60" s="4"/>
      <c r="D60" s="4"/>
      <c r="E60" s="4"/>
      <c r="F60" s="4"/>
      <c r="J60" s="88" t="s">
        <v>219</v>
      </c>
      <c r="K60" s="89" t="s">
        <v>220</v>
      </c>
      <c r="N60" s="119" t="s">
        <v>502</v>
      </c>
      <c r="O60" s="93">
        <v>711</v>
      </c>
      <c r="P60" s="120" t="s">
        <v>503</v>
      </c>
      <c r="AM60" s="52" t="s">
        <v>1299</v>
      </c>
      <c r="AN60" s="121" t="s">
        <v>1598</v>
      </c>
      <c r="AO60" s="121" t="s">
        <v>1266</v>
      </c>
      <c r="AQ60" s="52" t="s">
        <v>828</v>
      </c>
      <c r="AR60" s="52" t="s">
        <v>829</v>
      </c>
    </row>
    <row r="61" spans="1:44" ht="12" customHeight="1" thickBot="1">
      <c r="A61" s="4"/>
      <c r="B61" s="4"/>
      <c r="C61" s="4"/>
      <c r="D61" s="4"/>
      <c r="E61" s="4"/>
      <c r="F61" s="4"/>
      <c r="J61" s="88" t="s">
        <v>221</v>
      </c>
      <c r="K61" s="89" t="s">
        <v>222</v>
      </c>
      <c r="N61" s="119" t="s">
        <v>522</v>
      </c>
      <c r="O61" s="93">
        <v>729</v>
      </c>
      <c r="P61" s="120" t="s">
        <v>523</v>
      </c>
      <c r="AM61" s="52" t="s">
        <v>832</v>
      </c>
      <c r="AN61" s="121" t="s">
        <v>1599</v>
      </c>
      <c r="AO61" s="121" t="s">
        <v>718</v>
      </c>
      <c r="AQ61" s="52" t="s">
        <v>830</v>
      </c>
      <c r="AR61" s="52" t="s">
        <v>1299</v>
      </c>
    </row>
    <row r="62" spans="1:44" ht="12" customHeight="1" thickBot="1">
      <c r="A62" s="4"/>
      <c r="B62" s="4"/>
      <c r="C62" s="4"/>
      <c r="D62" s="4"/>
      <c r="E62" s="4"/>
      <c r="F62" s="4"/>
      <c r="J62" s="88" t="s">
        <v>233</v>
      </c>
      <c r="K62" s="89" t="s">
        <v>234</v>
      </c>
      <c r="N62" s="119" t="s">
        <v>558</v>
      </c>
      <c r="O62" s="93">
        <v>80</v>
      </c>
      <c r="P62" s="120" t="s">
        <v>559</v>
      </c>
      <c r="AM62" s="52" t="s">
        <v>834</v>
      </c>
      <c r="AN62" s="121" t="s">
        <v>1600</v>
      </c>
      <c r="AO62" s="121" t="s">
        <v>1409</v>
      </c>
      <c r="AQ62" s="52" t="s">
        <v>831</v>
      </c>
      <c r="AR62" s="52" t="s">
        <v>832</v>
      </c>
    </row>
    <row r="63" spans="1:44" ht="12" customHeight="1" thickBot="1">
      <c r="A63" s="4"/>
      <c r="B63" s="4"/>
      <c r="C63" s="4"/>
      <c r="D63" s="4"/>
      <c r="E63" s="4"/>
      <c r="F63" s="4"/>
      <c r="J63" s="88" t="s">
        <v>227</v>
      </c>
      <c r="K63" s="89" t="s">
        <v>228</v>
      </c>
      <c r="N63" s="119" t="s">
        <v>512</v>
      </c>
      <c r="O63" s="93">
        <v>724</v>
      </c>
      <c r="P63" s="120" t="s">
        <v>513</v>
      </c>
      <c r="AM63" s="52" t="s">
        <v>1300</v>
      </c>
      <c r="AN63" s="121" t="s">
        <v>124</v>
      </c>
      <c r="AO63" s="121" t="s">
        <v>1408</v>
      </c>
      <c r="AQ63" s="52" t="s">
        <v>833</v>
      </c>
      <c r="AR63" s="52" t="s">
        <v>834</v>
      </c>
    </row>
    <row r="64" spans="1:44" ht="12" customHeight="1" thickBot="1">
      <c r="A64" s="4"/>
      <c r="B64" s="4"/>
      <c r="C64" s="4"/>
      <c r="D64" s="4"/>
      <c r="E64" s="4"/>
      <c r="F64" s="4"/>
      <c r="J64" s="88" t="s">
        <v>229</v>
      </c>
      <c r="K64" s="89" t="s">
        <v>230</v>
      </c>
      <c r="N64" s="119" t="s">
        <v>524</v>
      </c>
      <c r="O64" s="93">
        <v>73</v>
      </c>
      <c r="P64" s="120" t="s">
        <v>525</v>
      </c>
      <c r="AM64" s="52" t="s">
        <v>837</v>
      </c>
      <c r="AN64" s="121" t="s">
        <v>1601</v>
      </c>
      <c r="AO64" s="121" t="s">
        <v>1757</v>
      </c>
      <c r="AQ64" s="52" t="s">
        <v>835</v>
      </c>
      <c r="AR64" s="52" t="s">
        <v>1300</v>
      </c>
    </row>
    <row r="65" spans="1:44" ht="12" customHeight="1" thickBot="1">
      <c r="A65" s="4"/>
      <c r="B65" s="4"/>
      <c r="C65" s="4"/>
      <c r="D65" s="4"/>
      <c r="E65" s="4"/>
      <c r="F65" s="4"/>
      <c r="J65" s="88" t="s">
        <v>231</v>
      </c>
      <c r="K65" s="89" t="s">
        <v>232</v>
      </c>
      <c r="N65" s="119" t="s">
        <v>492</v>
      </c>
      <c r="O65" s="93">
        <v>604</v>
      </c>
      <c r="P65" s="120" t="s">
        <v>493</v>
      </c>
      <c r="AM65" s="52" t="s">
        <v>839</v>
      </c>
      <c r="AN65" s="121" t="s">
        <v>160</v>
      </c>
      <c r="AO65" s="121" t="s">
        <v>1421</v>
      </c>
      <c r="AQ65" s="52" t="s">
        <v>836</v>
      </c>
      <c r="AR65" s="52" t="s">
        <v>837</v>
      </c>
    </row>
    <row r="66" spans="1:44" ht="12" customHeight="1" thickBot="1">
      <c r="A66" s="4"/>
      <c r="B66" s="4"/>
      <c r="C66" s="4"/>
      <c r="D66" s="4"/>
      <c r="E66" s="4"/>
      <c r="F66" s="4"/>
      <c r="J66" s="88" t="s">
        <v>235</v>
      </c>
      <c r="K66" s="89" t="s">
        <v>236</v>
      </c>
      <c r="N66" s="119" t="s">
        <v>536</v>
      </c>
      <c r="O66" s="93">
        <v>76</v>
      </c>
      <c r="P66" s="120" t="s">
        <v>537</v>
      </c>
      <c r="AM66" s="52" t="s">
        <v>1301</v>
      </c>
      <c r="AN66" s="121" t="s">
        <v>140</v>
      </c>
      <c r="AO66" s="121" t="s">
        <v>1415</v>
      </c>
      <c r="AQ66" s="52" t="s">
        <v>838</v>
      </c>
      <c r="AR66" s="52" t="s">
        <v>839</v>
      </c>
    </row>
    <row r="67" spans="1:44" ht="12" customHeight="1" thickBot="1">
      <c r="A67" s="4"/>
      <c r="B67" s="4"/>
      <c r="C67" s="4"/>
      <c r="D67" s="4"/>
      <c r="E67" s="4"/>
      <c r="F67" s="4"/>
      <c r="J67" s="88" t="s">
        <v>225</v>
      </c>
      <c r="K67" s="89" t="s">
        <v>226</v>
      </c>
      <c r="N67" s="119" t="s">
        <v>419</v>
      </c>
      <c r="O67" s="93">
        <v>512</v>
      </c>
      <c r="P67" s="120" t="s">
        <v>420</v>
      </c>
      <c r="AM67" s="52" t="s">
        <v>1302</v>
      </c>
      <c r="AN67" s="121" t="s">
        <v>132</v>
      </c>
      <c r="AO67" s="121" t="s">
        <v>1411</v>
      </c>
      <c r="AQ67" s="52" t="s">
        <v>840</v>
      </c>
      <c r="AR67" s="52" t="s">
        <v>1301</v>
      </c>
    </row>
    <row r="68" spans="1:44" ht="12" customHeight="1" thickBot="1">
      <c r="A68" s="4"/>
      <c r="B68" s="4"/>
      <c r="C68" s="4"/>
      <c r="D68" s="4"/>
      <c r="E68" s="4"/>
      <c r="F68" s="4"/>
      <c r="J68" s="88" t="s">
        <v>223</v>
      </c>
      <c r="K68" s="89" t="s">
        <v>224</v>
      </c>
      <c r="N68" s="119" t="s">
        <v>433</v>
      </c>
      <c r="O68" s="93">
        <v>519</v>
      </c>
      <c r="P68" s="120" t="s">
        <v>434</v>
      </c>
      <c r="AM68" s="52" t="s">
        <v>843</v>
      </c>
      <c r="AN68" s="121" t="s">
        <v>128</v>
      </c>
      <c r="AO68" s="121" t="s">
        <v>1410</v>
      </c>
      <c r="AQ68" s="52" t="s">
        <v>841</v>
      </c>
      <c r="AR68" s="52" t="s">
        <v>1302</v>
      </c>
    </row>
    <row r="69" spans="1:44" ht="12" customHeight="1" thickBot="1">
      <c r="A69" s="4"/>
      <c r="B69" s="4"/>
      <c r="C69" s="4"/>
      <c r="D69" s="4"/>
      <c r="E69" s="4"/>
      <c r="F69" s="4"/>
      <c r="J69" s="88" t="s">
        <v>237</v>
      </c>
      <c r="K69" s="89" t="s">
        <v>238</v>
      </c>
      <c r="N69" s="119" t="s">
        <v>562</v>
      </c>
      <c r="O69" s="93">
        <v>82</v>
      </c>
      <c r="P69" s="120" t="s">
        <v>563</v>
      </c>
      <c r="AM69" s="52" t="s">
        <v>1303</v>
      </c>
      <c r="AN69" s="121" t="s">
        <v>170</v>
      </c>
      <c r="AO69" s="121" t="s">
        <v>1424</v>
      </c>
      <c r="AQ69" s="52" t="s">
        <v>842</v>
      </c>
      <c r="AR69" s="52" t="s">
        <v>843</v>
      </c>
    </row>
    <row r="70" spans="1:44" ht="12" customHeight="1" thickBot="1">
      <c r="A70" s="4"/>
      <c r="B70" s="4"/>
      <c r="C70" s="4"/>
      <c r="D70" s="4"/>
      <c r="E70" s="4"/>
      <c r="F70" s="4"/>
      <c r="J70" s="88" t="s">
        <v>239</v>
      </c>
      <c r="K70" s="89" t="s">
        <v>240</v>
      </c>
      <c r="N70" s="119" t="s">
        <v>546</v>
      </c>
      <c r="O70" s="93">
        <v>765</v>
      </c>
      <c r="P70" s="120" t="s">
        <v>547</v>
      </c>
      <c r="AM70" s="52" t="s">
        <v>1304</v>
      </c>
      <c r="AN70" s="121" t="s">
        <v>134</v>
      </c>
      <c r="AO70" s="121" t="s">
        <v>1412</v>
      </c>
      <c r="AQ70" s="52" t="s">
        <v>844</v>
      </c>
      <c r="AR70" s="52" t="s">
        <v>1303</v>
      </c>
    </row>
    <row r="71" spans="1:44" ht="12" customHeight="1" thickBot="1">
      <c r="A71" s="4"/>
      <c r="B71" s="4"/>
      <c r="C71" s="4"/>
      <c r="D71" s="4"/>
      <c r="E71" s="4"/>
      <c r="F71" s="4"/>
      <c r="J71" s="88" t="s">
        <v>241</v>
      </c>
      <c r="K71" s="89" t="s">
        <v>242</v>
      </c>
      <c r="N71" s="119" t="s">
        <v>564</v>
      </c>
      <c r="O71" s="93">
        <v>83</v>
      </c>
      <c r="P71" s="120" t="s">
        <v>565</v>
      </c>
      <c r="AM71" s="52" t="s">
        <v>1305</v>
      </c>
      <c r="AN71" s="121" t="s">
        <v>172</v>
      </c>
      <c r="AO71" s="121" t="s">
        <v>1425</v>
      </c>
      <c r="AQ71" s="52" t="s">
        <v>845</v>
      </c>
      <c r="AR71" s="52" t="s">
        <v>1304</v>
      </c>
    </row>
    <row r="72" spans="1:44" ht="12" customHeight="1" thickBot="1">
      <c r="A72" s="4"/>
      <c r="B72" s="4"/>
      <c r="C72" s="4"/>
      <c r="D72" s="4"/>
      <c r="E72" s="4"/>
      <c r="F72" s="4"/>
      <c r="J72" s="88" t="s">
        <v>245</v>
      </c>
      <c r="K72" s="89" t="s">
        <v>246</v>
      </c>
      <c r="N72" s="119" t="s">
        <v>490</v>
      </c>
      <c r="O72" s="93">
        <v>603</v>
      </c>
      <c r="P72" s="120" t="s">
        <v>491</v>
      </c>
      <c r="AM72" s="52" t="s">
        <v>1306</v>
      </c>
      <c r="AN72" s="121" t="s">
        <v>144</v>
      </c>
      <c r="AO72" s="121" t="s">
        <v>1417</v>
      </c>
      <c r="AQ72" s="52" t="s">
        <v>846</v>
      </c>
      <c r="AR72" s="52" t="s">
        <v>1305</v>
      </c>
    </row>
    <row r="73" spans="1:44" ht="12" customHeight="1" thickBot="1">
      <c r="A73" s="4"/>
      <c r="B73" s="4"/>
      <c r="C73" s="4"/>
      <c r="D73" s="4"/>
      <c r="E73" s="4"/>
      <c r="F73" s="4"/>
      <c r="J73" s="88" t="s">
        <v>243</v>
      </c>
      <c r="K73" s="89" t="s">
        <v>244</v>
      </c>
      <c r="N73" s="119" t="s">
        <v>544</v>
      </c>
      <c r="O73" s="93">
        <v>764</v>
      </c>
      <c r="P73" s="120" t="s">
        <v>545</v>
      </c>
      <c r="AM73" s="52" t="s">
        <v>849</v>
      </c>
      <c r="AN73" s="121" t="s">
        <v>1602</v>
      </c>
      <c r="AO73" s="121" t="s">
        <v>1418</v>
      </c>
      <c r="AQ73" s="52" t="s">
        <v>847</v>
      </c>
      <c r="AR73" s="52" t="s">
        <v>1306</v>
      </c>
    </row>
    <row r="74" spans="1:44" ht="12" customHeight="1" thickBot="1">
      <c r="A74" s="4"/>
      <c r="B74" s="4"/>
      <c r="C74" s="4"/>
      <c r="D74" s="4"/>
      <c r="E74" s="4"/>
      <c r="F74" s="4"/>
      <c r="J74" s="88" t="s">
        <v>247</v>
      </c>
      <c r="K74" s="89" t="s">
        <v>248</v>
      </c>
      <c r="N74" s="119" t="s">
        <v>542</v>
      </c>
      <c r="O74" s="93">
        <v>763</v>
      </c>
      <c r="P74" s="120" t="s">
        <v>543</v>
      </c>
      <c r="AM74" s="52" t="s">
        <v>851</v>
      </c>
      <c r="AN74" s="121" t="s">
        <v>162</v>
      </c>
      <c r="AO74" s="121" t="s">
        <v>1422</v>
      </c>
      <c r="AQ74" s="52" t="s">
        <v>848</v>
      </c>
      <c r="AR74" s="52" t="s">
        <v>849</v>
      </c>
    </row>
    <row r="75" spans="1:44" ht="12" customHeight="1" thickBot="1">
      <c r="A75" s="4"/>
      <c r="B75" s="4"/>
      <c r="C75" s="4"/>
      <c r="D75" s="4"/>
      <c r="E75" s="4"/>
      <c r="F75" s="4"/>
      <c r="J75" s="88" t="s">
        <v>249</v>
      </c>
      <c r="K75" s="89" t="s">
        <v>250</v>
      </c>
      <c r="N75" s="119" t="s">
        <v>560</v>
      </c>
      <c r="O75" s="93">
        <v>81</v>
      </c>
      <c r="P75" s="120" t="s">
        <v>561</v>
      </c>
      <c r="AM75" s="52" t="s">
        <v>853</v>
      </c>
      <c r="AN75" s="121" t="s">
        <v>152</v>
      </c>
      <c r="AO75" s="121" t="s">
        <v>1762</v>
      </c>
      <c r="AQ75" s="52" t="s">
        <v>850</v>
      </c>
      <c r="AR75" s="52" t="s">
        <v>851</v>
      </c>
    </row>
    <row r="76" spans="1:44" ht="12" customHeight="1" thickBot="1">
      <c r="A76" s="4"/>
      <c r="B76" s="4"/>
      <c r="C76" s="4"/>
      <c r="D76" s="4"/>
      <c r="E76" s="4"/>
      <c r="F76" s="4"/>
      <c r="J76" s="88" t="s">
        <v>255</v>
      </c>
      <c r="K76" s="89" t="s">
        <v>256</v>
      </c>
      <c r="N76" s="119" t="s">
        <v>409</v>
      </c>
      <c r="O76" s="93">
        <v>504</v>
      </c>
      <c r="P76" s="120" t="s">
        <v>410</v>
      </c>
      <c r="AM76" s="52" t="s">
        <v>855</v>
      </c>
      <c r="AN76" s="121" t="s">
        <v>156</v>
      </c>
      <c r="AO76" s="121" t="s">
        <v>1759</v>
      </c>
      <c r="AQ76" s="52" t="s">
        <v>852</v>
      </c>
      <c r="AR76" s="52" t="s">
        <v>853</v>
      </c>
    </row>
    <row r="77" spans="1:44" ht="12" customHeight="1" thickBot="1">
      <c r="A77" s="4"/>
      <c r="B77" s="4"/>
      <c r="C77" s="4"/>
      <c r="D77" s="4"/>
      <c r="E77" s="4"/>
      <c r="F77" s="4"/>
      <c r="J77" s="88" t="s">
        <v>259</v>
      </c>
      <c r="K77" s="89" t="s">
        <v>260</v>
      </c>
      <c r="N77" s="119" t="s">
        <v>514</v>
      </c>
      <c r="O77" s="93">
        <v>725</v>
      </c>
      <c r="P77" s="120" t="s">
        <v>515</v>
      </c>
      <c r="AM77" s="52" t="s">
        <v>857</v>
      </c>
      <c r="AN77" s="121" t="s">
        <v>126</v>
      </c>
      <c r="AO77" s="121" t="s">
        <v>1760</v>
      </c>
      <c r="AQ77" s="52" t="s">
        <v>854</v>
      </c>
      <c r="AR77" s="52" t="s">
        <v>855</v>
      </c>
    </row>
    <row r="78" spans="1:44" ht="12" customHeight="1" thickBot="1">
      <c r="A78" s="4"/>
      <c r="B78" s="4"/>
      <c r="C78" s="4"/>
      <c r="D78" s="4"/>
      <c r="E78" s="4"/>
      <c r="F78" s="4"/>
      <c r="J78" s="88" t="s">
        <v>251</v>
      </c>
      <c r="K78" s="89" t="s">
        <v>252</v>
      </c>
      <c r="N78" s="119" t="s">
        <v>552</v>
      </c>
      <c r="O78" s="93">
        <v>78</v>
      </c>
      <c r="P78" s="120" t="s">
        <v>553</v>
      </c>
      <c r="AM78" s="52" t="s">
        <v>859</v>
      </c>
      <c r="AN78" s="121" t="s">
        <v>1603</v>
      </c>
      <c r="AO78" s="121" t="s">
        <v>1271</v>
      </c>
      <c r="AQ78" s="52" t="s">
        <v>856</v>
      </c>
      <c r="AR78" s="52" t="s">
        <v>857</v>
      </c>
    </row>
    <row r="79" spans="1:44" ht="12" customHeight="1" thickBot="1">
      <c r="A79" s="4"/>
      <c r="B79" s="4"/>
      <c r="C79" s="4"/>
      <c r="D79" s="4"/>
      <c r="E79" s="4"/>
      <c r="F79" s="4"/>
      <c r="J79" s="88" t="s">
        <v>253</v>
      </c>
      <c r="K79" s="89" t="s">
        <v>254</v>
      </c>
      <c r="N79" s="119" t="s">
        <v>508</v>
      </c>
      <c r="O79" s="93">
        <v>721</v>
      </c>
      <c r="P79" s="120" t="s">
        <v>509</v>
      </c>
      <c r="AM79" s="52" t="s">
        <v>861</v>
      </c>
      <c r="AN79" s="121" t="s">
        <v>166</v>
      </c>
      <c r="AO79" s="121" t="s">
        <v>1423</v>
      </c>
      <c r="AQ79" s="52" t="s">
        <v>858</v>
      </c>
      <c r="AR79" s="52" t="s">
        <v>859</v>
      </c>
    </row>
    <row r="80" spans="1:44" ht="12" customHeight="1" thickBot="1">
      <c r="A80" s="4"/>
      <c r="B80" s="4"/>
      <c r="C80" s="4"/>
      <c r="D80" s="4"/>
      <c r="E80" s="4"/>
      <c r="F80" s="4"/>
      <c r="J80" s="88" t="s">
        <v>257</v>
      </c>
      <c r="K80" s="89" t="s">
        <v>258</v>
      </c>
      <c r="N80" s="119" t="s">
        <v>447</v>
      </c>
      <c r="O80" s="93">
        <v>53</v>
      </c>
      <c r="P80" s="120" t="s">
        <v>448</v>
      </c>
      <c r="AM80" s="52" t="s">
        <v>863</v>
      </c>
      <c r="AN80" s="121" t="s">
        <v>158</v>
      </c>
      <c r="AO80" s="121" t="s">
        <v>1420</v>
      </c>
      <c r="AQ80" s="52" t="s">
        <v>860</v>
      </c>
      <c r="AR80" s="52" t="s">
        <v>861</v>
      </c>
    </row>
    <row r="81" spans="1:44" ht="12" customHeight="1" thickBot="1">
      <c r="A81" s="4"/>
      <c r="B81" s="4"/>
      <c r="C81" s="4"/>
      <c r="D81" s="4"/>
      <c r="E81" s="4"/>
      <c r="F81" s="4"/>
      <c r="J81" s="88" t="s">
        <v>261</v>
      </c>
      <c r="K81" s="89" t="s">
        <v>80</v>
      </c>
      <c r="N81" s="119" t="s">
        <v>413</v>
      </c>
      <c r="O81" s="93">
        <v>506</v>
      </c>
      <c r="P81" s="120" t="s">
        <v>414</v>
      </c>
      <c r="AM81" s="52" t="s">
        <v>865</v>
      </c>
      <c r="AN81" s="121" t="s">
        <v>1604</v>
      </c>
      <c r="AO81" s="121" t="s">
        <v>1476</v>
      </c>
      <c r="AQ81" s="52" t="s">
        <v>862</v>
      </c>
      <c r="AR81" s="52" t="s">
        <v>863</v>
      </c>
    </row>
    <row r="82" spans="1:44" ht="12" customHeight="1" thickBot="1">
      <c r="A82" s="4"/>
      <c r="B82" s="4"/>
      <c r="C82" s="4"/>
      <c r="D82" s="4"/>
      <c r="E82" s="4"/>
      <c r="F82" s="4"/>
      <c r="J82" s="88" t="s">
        <v>262</v>
      </c>
      <c r="K82" s="89" t="s">
        <v>263</v>
      </c>
      <c r="N82" s="119" t="s">
        <v>578</v>
      </c>
      <c r="O82" s="93">
        <v>502</v>
      </c>
      <c r="P82" s="120" t="s">
        <v>406</v>
      </c>
      <c r="AM82" s="52" t="s">
        <v>867</v>
      </c>
      <c r="AN82" s="121" t="s">
        <v>150</v>
      </c>
      <c r="AO82" s="121" t="s">
        <v>1419</v>
      </c>
      <c r="AQ82" s="52" t="s">
        <v>864</v>
      </c>
      <c r="AR82" s="52" t="s">
        <v>865</v>
      </c>
    </row>
    <row r="83" spans="1:44" ht="12" customHeight="1" thickBot="1">
      <c r="A83" s="4"/>
      <c r="B83" s="4"/>
      <c r="C83" s="4"/>
      <c r="D83" s="4"/>
      <c r="E83" s="4"/>
      <c r="F83" s="4"/>
      <c r="J83" s="88" t="s">
        <v>264</v>
      </c>
      <c r="K83" s="89" t="s">
        <v>265</v>
      </c>
      <c r="N83" s="119" t="s">
        <v>548</v>
      </c>
      <c r="O83" s="93">
        <v>766</v>
      </c>
      <c r="P83" s="120" t="s">
        <v>549</v>
      </c>
      <c r="AM83" s="52" t="s">
        <v>869</v>
      </c>
      <c r="AN83" s="121" t="s">
        <v>138</v>
      </c>
      <c r="AO83" s="121" t="s">
        <v>1414</v>
      </c>
      <c r="AQ83" s="52" t="s">
        <v>866</v>
      </c>
      <c r="AR83" s="52" t="s">
        <v>867</v>
      </c>
    </row>
    <row r="84" spans="1:44" ht="12" customHeight="1" thickBot="1">
      <c r="A84" s="4"/>
      <c r="B84" s="4"/>
      <c r="C84" s="4"/>
      <c r="D84" s="4"/>
      <c r="E84" s="4"/>
      <c r="F84" s="4"/>
      <c r="J84" s="88" t="s">
        <v>272</v>
      </c>
      <c r="K84" s="89" t="s">
        <v>273</v>
      </c>
      <c r="N84" s="119" t="s">
        <v>530</v>
      </c>
      <c r="O84" s="93">
        <v>751</v>
      </c>
      <c r="P84" s="120" t="s">
        <v>531</v>
      </c>
      <c r="AM84" s="52" t="s">
        <v>871</v>
      </c>
      <c r="AN84" s="121" t="s">
        <v>136</v>
      </c>
      <c r="AO84" s="121" t="s">
        <v>1413</v>
      </c>
      <c r="AQ84" s="52" t="s">
        <v>868</v>
      </c>
      <c r="AR84" s="52" t="s">
        <v>869</v>
      </c>
    </row>
    <row r="85" spans="1:44" ht="12" customHeight="1" thickBot="1">
      <c r="A85" s="4"/>
      <c r="B85" s="4"/>
      <c r="C85" s="4"/>
      <c r="D85" s="4"/>
      <c r="E85" s="4"/>
      <c r="F85" s="4"/>
      <c r="J85" s="88" t="s">
        <v>274</v>
      </c>
      <c r="K85" s="89" t="s">
        <v>275</v>
      </c>
      <c r="N85" s="119" t="s">
        <v>488</v>
      </c>
      <c r="O85" s="93">
        <v>602</v>
      </c>
      <c r="P85" s="120" t="s">
        <v>489</v>
      </c>
      <c r="AM85" s="52" t="s">
        <v>711</v>
      </c>
      <c r="AN85" s="121" t="s">
        <v>142</v>
      </c>
      <c r="AO85" s="121" t="s">
        <v>1416</v>
      </c>
      <c r="AQ85" s="52" t="s">
        <v>870</v>
      </c>
      <c r="AR85" s="52" t="s">
        <v>871</v>
      </c>
    </row>
    <row r="86" spans="1:44" ht="12" customHeight="1" thickBot="1">
      <c r="A86" s="4"/>
      <c r="B86" s="4"/>
      <c r="C86" s="4"/>
      <c r="D86" s="4"/>
      <c r="E86" s="4"/>
      <c r="F86" s="4"/>
      <c r="J86" s="88" t="s">
        <v>268</v>
      </c>
      <c r="K86" s="89" t="s">
        <v>269</v>
      </c>
      <c r="N86" s="119" t="s">
        <v>486</v>
      </c>
      <c r="O86" s="93">
        <v>601</v>
      </c>
      <c r="P86" s="120" t="s">
        <v>487</v>
      </c>
      <c r="AM86" s="52" t="s">
        <v>874</v>
      </c>
      <c r="AN86" s="121" t="s">
        <v>208</v>
      </c>
      <c r="AO86" s="121" t="s">
        <v>1763</v>
      </c>
      <c r="AQ86" s="52" t="s">
        <v>872</v>
      </c>
      <c r="AR86" s="52" t="s">
        <v>711</v>
      </c>
    </row>
    <row r="87" spans="1:44" ht="12" customHeight="1" thickBot="1">
      <c r="A87" s="4"/>
      <c r="B87" s="4"/>
      <c r="C87" s="4"/>
      <c r="D87" s="4"/>
      <c r="E87" s="4"/>
      <c r="F87" s="4"/>
      <c r="J87" s="88" t="s">
        <v>266</v>
      </c>
      <c r="K87" s="89" t="s">
        <v>267</v>
      </c>
      <c r="N87" s="119" t="s">
        <v>415</v>
      </c>
      <c r="O87" s="93">
        <v>51</v>
      </c>
      <c r="P87" s="120" t="s">
        <v>416</v>
      </c>
      <c r="AM87" s="52" t="s">
        <v>876</v>
      </c>
      <c r="AN87" s="121" t="s">
        <v>1605</v>
      </c>
      <c r="AO87" s="121" t="s">
        <v>1484</v>
      </c>
      <c r="AQ87" s="52" t="s">
        <v>873</v>
      </c>
      <c r="AR87" s="52" t="s">
        <v>874</v>
      </c>
    </row>
    <row r="88" spans="1:44" ht="12" customHeight="1" thickBot="1">
      <c r="A88" s="4"/>
      <c r="B88" s="4"/>
      <c r="C88" s="4"/>
      <c r="D88" s="4"/>
      <c r="E88" s="4"/>
      <c r="F88" s="4"/>
      <c r="J88" s="88" t="s">
        <v>270</v>
      </c>
      <c r="K88" s="89" t="s">
        <v>271</v>
      </c>
      <c r="N88" s="119" t="s">
        <v>470</v>
      </c>
      <c r="O88" s="93">
        <v>553</v>
      </c>
      <c r="P88" s="120" t="s">
        <v>471</v>
      </c>
      <c r="AM88" s="52" t="s">
        <v>878</v>
      </c>
      <c r="AN88" s="121" t="s">
        <v>1606</v>
      </c>
      <c r="AO88" s="121" t="s">
        <v>1433</v>
      </c>
      <c r="AQ88" s="52" t="s">
        <v>875</v>
      </c>
      <c r="AR88" s="52" t="s">
        <v>876</v>
      </c>
    </row>
    <row r="89" spans="1:44" ht="12" customHeight="1" thickBot="1">
      <c r="A89" s="4"/>
      <c r="B89" s="4"/>
      <c r="C89" s="4"/>
      <c r="D89" s="4"/>
      <c r="E89" s="4"/>
      <c r="F89" s="4"/>
      <c r="J89" s="88" t="s">
        <v>278</v>
      </c>
      <c r="K89" s="89" t="s">
        <v>279</v>
      </c>
      <c r="N89" s="119" t="s">
        <v>407</v>
      </c>
      <c r="O89" s="93">
        <v>503</v>
      </c>
      <c r="P89" s="120" t="s">
        <v>408</v>
      </c>
      <c r="AM89" s="52" t="s">
        <v>880</v>
      </c>
      <c r="AN89" s="121" t="s">
        <v>174</v>
      </c>
      <c r="AO89" s="121" t="s">
        <v>1426</v>
      </c>
      <c r="AQ89" s="52" t="s">
        <v>877</v>
      </c>
      <c r="AR89" s="52" t="s">
        <v>878</v>
      </c>
    </row>
    <row r="90" spans="1:44" ht="12" customHeight="1" thickBot="1">
      <c r="A90" s="4"/>
      <c r="B90" s="4"/>
      <c r="C90" s="4"/>
      <c r="D90" s="4"/>
      <c r="E90" s="4"/>
      <c r="F90" s="4"/>
      <c r="J90" s="88" t="s">
        <v>280</v>
      </c>
      <c r="K90" s="89" t="s">
        <v>281</v>
      </c>
      <c r="N90" s="119" t="s">
        <v>506</v>
      </c>
      <c r="O90" s="93">
        <v>72</v>
      </c>
      <c r="P90" s="120" t="s">
        <v>507</v>
      </c>
      <c r="AM90" s="52" t="s">
        <v>882</v>
      </c>
      <c r="AN90" s="121" t="s">
        <v>1607</v>
      </c>
      <c r="AO90" s="121" t="s">
        <v>1487</v>
      </c>
      <c r="AQ90" s="52" t="s">
        <v>879</v>
      </c>
      <c r="AR90" s="52" t="s">
        <v>880</v>
      </c>
    </row>
    <row r="91" spans="1:44" ht="12" customHeight="1" thickBot="1">
      <c r="A91" s="4"/>
      <c r="B91" s="4"/>
      <c r="C91" s="4"/>
      <c r="D91" s="4"/>
      <c r="E91" s="4"/>
      <c r="F91" s="4"/>
      <c r="J91" s="88" t="s">
        <v>292</v>
      </c>
      <c r="K91" s="89" t="s">
        <v>293</v>
      </c>
      <c r="AM91" s="52" t="s">
        <v>1307</v>
      </c>
      <c r="AN91" s="121" t="s">
        <v>182</v>
      </c>
      <c r="AO91" s="121" t="s">
        <v>1428</v>
      </c>
      <c r="AQ91" s="52" t="s">
        <v>881</v>
      </c>
      <c r="AR91" s="52" t="s">
        <v>882</v>
      </c>
    </row>
    <row r="92" spans="1:44" ht="12" customHeight="1" thickBot="1">
      <c r="A92" s="4"/>
      <c r="B92" s="4"/>
      <c r="C92" s="4"/>
      <c r="D92" s="4"/>
      <c r="E92" s="4"/>
      <c r="F92" s="4"/>
      <c r="J92" s="88" t="s">
        <v>282</v>
      </c>
      <c r="K92" s="89" t="s">
        <v>283</v>
      </c>
      <c r="AM92" s="52" t="s">
        <v>1308</v>
      </c>
      <c r="AN92" s="121" t="s">
        <v>351</v>
      </c>
      <c r="AO92" s="121" t="s">
        <v>1550</v>
      </c>
      <c r="AQ92" s="52" t="s">
        <v>883</v>
      </c>
      <c r="AR92" s="52" t="s">
        <v>1307</v>
      </c>
    </row>
    <row r="93" spans="1:44" ht="12" customHeight="1" thickBot="1">
      <c r="A93" s="4"/>
      <c r="B93" s="4"/>
      <c r="C93" s="4"/>
      <c r="D93" s="4"/>
      <c r="E93" s="4"/>
      <c r="F93" s="4"/>
      <c r="J93" s="88" t="s">
        <v>294</v>
      </c>
      <c r="K93" s="89" t="s">
        <v>295</v>
      </c>
      <c r="AM93" s="52" t="s">
        <v>886</v>
      </c>
      <c r="AN93" s="121" t="s">
        <v>194</v>
      </c>
      <c r="AO93" s="121" t="s">
        <v>1432</v>
      </c>
      <c r="AQ93" s="52" t="s">
        <v>884</v>
      </c>
      <c r="AR93" s="52" t="s">
        <v>1308</v>
      </c>
    </row>
    <row r="94" spans="1:44" ht="12" customHeight="1" thickBot="1">
      <c r="A94" s="4"/>
      <c r="B94" s="4"/>
      <c r="C94" s="4"/>
      <c r="D94" s="4"/>
      <c r="E94" s="4"/>
      <c r="F94" s="4"/>
      <c r="J94" s="88" t="s">
        <v>284</v>
      </c>
      <c r="K94" s="89" t="s">
        <v>285</v>
      </c>
      <c r="AM94" s="52" t="s">
        <v>1309</v>
      </c>
      <c r="AN94" s="121" t="s">
        <v>1608</v>
      </c>
      <c r="AO94" s="121" t="s">
        <v>1259</v>
      </c>
      <c r="AQ94" s="52" t="s">
        <v>885</v>
      </c>
      <c r="AR94" s="52" t="s">
        <v>886</v>
      </c>
    </row>
    <row r="95" spans="1:44" ht="12" customHeight="1" thickBot="1">
      <c r="A95" s="4"/>
      <c r="B95" s="4"/>
      <c r="C95" s="4"/>
      <c r="D95" s="4"/>
      <c r="E95" s="4"/>
      <c r="F95" s="4"/>
      <c r="J95" s="88" t="s">
        <v>290</v>
      </c>
      <c r="K95" s="89" t="s">
        <v>291</v>
      </c>
      <c r="AM95" s="52" t="s">
        <v>889</v>
      </c>
      <c r="AN95" s="121" t="s">
        <v>210</v>
      </c>
      <c r="AO95" s="121" t="s">
        <v>1438</v>
      </c>
      <c r="AQ95" s="52" t="s">
        <v>887</v>
      </c>
      <c r="AR95" s="52" t="s">
        <v>1309</v>
      </c>
    </row>
    <row r="96" spans="1:44" ht="12" customHeight="1" thickBot="1">
      <c r="A96" s="4"/>
      <c r="B96" s="4"/>
      <c r="C96" s="4"/>
      <c r="D96" s="4"/>
      <c r="E96" s="4"/>
      <c r="F96" s="4"/>
      <c r="J96" s="88" t="s">
        <v>309</v>
      </c>
      <c r="K96" s="89" t="s">
        <v>308</v>
      </c>
      <c r="AM96" s="52" t="s">
        <v>891</v>
      </c>
      <c r="AN96" s="121" t="s">
        <v>178</v>
      </c>
      <c r="AO96" s="121" t="s">
        <v>1427</v>
      </c>
      <c r="AQ96" s="52" t="s">
        <v>888</v>
      </c>
      <c r="AR96" s="52" t="s">
        <v>889</v>
      </c>
    </row>
    <row r="97" spans="1:44" ht="12" customHeight="1" thickBot="1">
      <c r="A97" s="4"/>
      <c r="B97" s="4"/>
      <c r="C97" s="4"/>
      <c r="D97" s="4"/>
      <c r="E97" s="4"/>
      <c r="F97" s="4"/>
      <c r="J97" s="88" t="s">
        <v>288</v>
      </c>
      <c r="K97" s="89" t="s">
        <v>289</v>
      </c>
      <c r="AM97" s="52" t="s">
        <v>1310</v>
      </c>
      <c r="AN97" s="121" t="s">
        <v>196</v>
      </c>
      <c r="AO97" s="121" t="s">
        <v>1434</v>
      </c>
      <c r="AQ97" s="52" t="s">
        <v>890</v>
      </c>
      <c r="AR97" s="52" t="s">
        <v>891</v>
      </c>
    </row>
    <row r="98" spans="1:44" ht="12" customHeight="1" thickBot="1">
      <c r="A98" s="4"/>
      <c r="B98" s="4"/>
      <c r="C98" s="4"/>
      <c r="D98" s="4"/>
      <c r="E98" s="4"/>
      <c r="F98" s="4"/>
      <c r="J98" s="88" t="s">
        <v>296</v>
      </c>
      <c r="K98" s="89" t="s">
        <v>297</v>
      </c>
      <c r="AM98" s="52" t="s">
        <v>894</v>
      </c>
      <c r="AN98" s="121" t="s">
        <v>1610</v>
      </c>
      <c r="AO98" s="121" t="s">
        <v>1486</v>
      </c>
      <c r="AQ98" s="52" t="s">
        <v>892</v>
      </c>
      <c r="AR98" s="52" t="s">
        <v>1310</v>
      </c>
    </row>
    <row r="99" spans="1:44" ht="12" customHeight="1" thickBot="1">
      <c r="A99" s="4"/>
      <c r="B99" s="4"/>
      <c r="C99" s="4"/>
      <c r="D99" s="4"/>
      <c r="E99" s="4"/>
      <c r="F99" s="4"/>
      <c r="J99" s="88" t="s">
        <v>307</v>
      </c>
      <c r="K99" s="89" t="s">
        <v>308</v>
      </c>
      <c r="AM99" s="52" t="s">
        <v>896</v>
      </c>
      <c r="AN99" s="121" t="s">
        <v>184</v>
      </c>
      <c r="AO99" s="121" t="s">
        <v>1429</v>
      </c>
      <c r="AQ99" s="52" t="s">
        <v>893</v>
      </c>
      <c r="AR99" s="52" t="s">
        <v>894</v>
      </c>
    </row>
    <row r="100" spans="1:44" ht="12" customHeight="1" thickBot="1">
      <c r="A100" s="4"/>
      <c r="B100" s="4"/>
      <c r="C100" s="4"/>
      <c r="D100" s="4"/>
      <c r="E100" s="4"/>
      <c r="F100" s="4"/>
      <c r="J100" s="88" t="s">
        <v>286</v>
      </c>
      <c r="K100" s="89" t="s">
        <v>287</v>
      </c>
      <c r="AM100" s="52" t="s">
        <v>898</v>
      </c>
      <c r="AN100" s="121" t="s">
        <v>1611</v>
      </c>
      <c r="AO100" s="121" t="s">
        <v>1764</v>
      </c>
      <c r="AQ100" s="52" t="s">
        <v>895</v>
      </c>
      <c r="AR100" s="52" t="s">
        <v>896</v>
      </c>
    </row>
    <row r="101" spans="1:44" ht="12" customHeight="1" thickBot="1">
      <c r="A101" s="4"/>
      <c r="B101" s="4"/>
      <c r="C101" s="4"/>
      <c r="D101" s="4"/>
      <c r="E101" s="4"/>
      <c r="F101" s="4"/>
      <c r="J101" s="88" t="s">
        <v>305</v>
      </c>
      <c r="K101" s="89" t="s">
        <v>306</v>
      </c>
      <c r="AM101" s="52" t="s">
        <v>900</v>
      </c>
      <c r="AN101" s="121" t="s">
        <v>192</v>
      </c>
      <c r="AO101" s="121" t="s">
        <v>1431</v>
      </c>
      <c r="AQ101" s="52" t="s">
        <v>897</v>
      </c>
      <c r="AR101" s="52" t="s">
        <v>898</v>
      </c>
    </row>
    <row r="102" spans="1:44" ht="12" customHeight="1" thickBot="1">
      <c r="A102" s="4"/>
      <c r="B102" s="4"/>
      <c r="C102" s="4"/>
      <c r="D102" s="4"/>
      <c r="E102" s="4"/>
      <c r="F102" s="4"/>
      <c r="J102" s="88" t="s">
        <v>300</v>
      </c>
      <c r="K102" s="89" t="s">
        <v>301</v>
      </c>
      <c r="AM102" s="52" t="s">
        <v>1311</v>
      </c>
      <c r="AN102" s="121" t="s">
        <v>200</v>
      </c>
      <c r="AO102" s="121" t="s">
        <v>1435</v>
      </c>
      <c r="AQ102" s="52" t="s">
        <v>899</v>
      </c>
      <c r="AR102" s="52" t="s">
        <v>900</v>
      </c>
    </row>
    <row r="103" spans="1:44" ht="12" customHeight="1" thickBot="1">
      <c r="A103" s="4"/>
      <c r="B103" s="4"/>
      <c r="C103" s="4"/>
      <c r="D103" s="4"/>
      <c r="E103" s="4"/>
      <c r="F103" s="4"/>
      <c r="J103" s="88" t="s">
        <v>298</v>
      </c>
      <c r="K103" s="89" t="s">
        <v>299</v>
      </c>
      <c r="AM103" s="52" t="s">
        <v>903</v>
      </c>
      <c r="AN103" s="121" t="s">
        <v>188</v>
      </c>
      <c r="AO103" s="121" t="s">
        <v>1765</v>
      </c>
      <c r="AQ103" s="52" t="s">
        <v>901</v>
      </c>
      <c r="AR103" s="52" t="s">
        <v>1311</v>
      </c>
    </row>
    <row r="104" spans="1:44" ht="12" customHeight="1" thickBot="1">
      <c r="A104" s="4"/>
      <c r="B104" s="4"/>
      <c r="C104" s="4"/>
      <c r="D104" s="4"/>
      <c r="E104" s="4"/>
      <c r="F104" s="4"/>
      <c r="J104" s="88" t="s">
        <v>318</v>
      </c>
      <c r="K104" s="89" t="s">
        <v>319</v>
      </c>
      <c r="AM104" s="52" t="s">
        <v>904</v>
      </c>
      <c r="AN104" s="121" t="s">
        <v>246</v>
      </c>
      <c r="AO104" s="121" t="s">
        <v>1469</v>
      </c>
      <c r="AQ104" s="52" t="s">
        <v>902</v>
      </c>
      <c r="AR104" s="52" t="s">
        <v>903</v>
      </c>
    </row>
    <row r="105" spans="1:44" ht="12" customHeight="1" thickBot="1">
      <c r="A105" s="4"/>
      <c r="B105" s="4"/>
      <c r="C105" s="4"/>
      <c r="D105" s="4"/>
      <c r="E105" s="4"/>
      <c r="F105" s="4"/>
      <c r="J105" s="88" t="s">
        <v>314</v>
      </c>
      <c r="K105" s="89" t="s">
        <v>315</v>
      </c>
      <c r="AM105" s="52" t="s">
        <v>907</v>
      </c>
      <c r="AN105" s="121" t="s">
        <v>206</v>
      </c>
      <c r="AO105" s="121" t="s">
        <v>1436</v>
      </c>
      <c r="AQ105" s="52" t="s">
        <v>905</v>
      </c>
      <c r="AR105" s="52" t="s">
        <v>904</v>
      </c>
    </row>
    <row r="106" spans="1:44" ht="12" customHeight="1" thickBot="1">
      <c r="A106" s="4"/>
      <c r="B106" s="4"/>
      <c r="C106" s="4"/>
      <c r="D106" s="4"/>
      <c r="E106" s="4"/>
      <c r="F106" s="4"/>
      <c r="J106" s="88" t="s">
        <v>312</v>
      </c>
      <c r="K106" s="89" t="s">
        <v>313</v>
      </c>
      <c r="AM106" s="52" t="s">
        <v>909</v>
      </c>
      <c r="AN106" s="121" t="s">
        <v>1612</v>
      </c>
      <c r="AO106" s="121" t="s">
        <v>726</v>
      </c>
      <c r="AQ106" s="52" t="s">
        <v>906</v>
      </c>
      <c r="AR106" s="52" t="s">
        <v>907</v>
      </c>
    </row>
    <row r="107" spans="1:44" ht="12" customHeight="1" thickBot="1">
      <c r="A107" s="4"/>
      <c r="B107" s="4"/>
      <c r="C107" s="4"/>
      <c r="D107" s="4"/>
      <c r="E107" s="4"/>
      <c r="F107" s="4"/>
      <c r="J107" s="88" t="s">
        <v>310</v>
      </c>
      <c r="K107" s="89" t="s">
        <v>311</v>
      </c>
      <c r="AM107" s="52" t="s">
        <v>1312</v>
      </c>
      <c r="AN107" s="121" t="s">
        <v>212</v>
      </c>
      <c r="AO107" s="121" t="s">
        <v>1439</v>
      </c>
      <c r="AQ107" s="52" t="s">
        <v>908</v>
      </c>
      <c r="AR107" s="52" t="s">
        <v>909</v>
      </c>
    </row>
    <row r="108" spans="1:44" ht="12" customHeight="1" thickBot="1">
      <c r="A108" s="4"/>
      <c r="B108" s="4"/>
      <c r="C108" s="4"/>
      <c r="D108" s="4"/>
      <c r="E108" s="4"/>
      <c r="F108" s="4"/>
      <c r="J108" s="88" t="s">
        <v>320</v>
      </c>
      <c r="K108" s="89" t="s">
        <v>321</v>
      </c>
      <c r="AM108" s="52" t="s">
        <v>912</v>
      </c>
      <c r="AN108" s="121" t="s">
        <v>214</v>
      </c>
      <c r="AO108" s="121" t="s">
        <v>1440</v>
      </c>
      <c r="AQ108" s="52" t="s">
        <v>910</v>
      </c>
      <c r="AR108" s="52" t="s">
        <v>1312</v>
      </c>
    </row>
    <row r="109" spans="1:44" ht="12" customHeight="1" thickBot="1">
      <c r="A109" s="4"/>
      <c r="B109" s="4"/>
      <c r="C109" s="4"/>
      <c r="D109" s="4"/>
      <c r="E109" s="4"/>
      <c r="F109" s="4"/>
      <c r="J109" s="88" t="s">
        <v>316</v>
      </c>
      <c r="K109" s="89" t="s">
        <v>317</v>
      </c>
      <c r="AM109" s="52" t="s">
        <v>914</v>
      </c>
      <c r="AN109" s="121" t="s">
        <v>1613</v>
      </c>
      <c r="AO109" s="121" t="s">
        <v>1442</v>
      </c>
      <c r="AQ109" s="52" t="s">
        <v>911</v>
      </c>
      <c r="AR109" s="52" t="s">
        <v>912</v>
      </c>
    </row>
    <row r="110" spans="1:44" ht="12" customHeight="1" thickBot="1">
      <c r="A110" s="4"/>
      <c r="B110" s="4"/>
      <c r="C110" s="4"/>
      <c r="D110" s="4"/>
      <c r="E110" s="4"/>
      <c r="F110" s="4"/>
      <c r="J110" s="88" t="s">
        <v>330</v>
      </c>
      <c r="K110" s="89" t="s">
        <v>331</v>
      </c>
      <c r="AM110" s="52" t="s">
        <v>916</v>
      </c>
      <c r="AN110" s="121" t="s">
        <v>216</v>
      </c>
      <c r="AO110" s="121" t="s">
        <v>727</v>
      </c>
      <c r="AQ110" s="52" t="s">
        <v>913</v>
      </c>
      <c r="AR110" s="52" t="s">
        <v>914</v>
      </c>
    </row>
    <row r="111" spans="1:44" ht="12" customHeight="1" thickBot="1">
      <c r="A111" s="4"/>
      <c r="B111" s="4"/>
      <c r="C111" s="4"/>
      <c r="D111" s="4"/>
      <c r="E111" s="4"/>
      <c r="F111" s="4"/>
      <c r="J111" s="88" t="s">
        <v>322</v>
      </c>
      <c r="K111" s="89" t="s">
        <v>323</v>
      </c>
      <c r="AM111" s="52" t="s">
        <v>918</v>
      </c>
      <c r="AN111" s="121" t="s">
        <v>1614</v>
      </c>
      <c r="AO111" s="121" t="s">
        <v>1443</v>
      </c>
      <c r="AQ111" s="52" t="s">
        <v>915</v>
      </c>
      <c r="AR111" s="52" t="s">
        <v>916</v>
      </c>
    </row>
    <row r="112" spans="1:44" ht="12" customHeight="1" thickBot="1">
      <c r="A112" s="4"/>
      <c r="B112" s="4"/>
      <c r="C112" s="4"/>
      <c r="D112" s="4"/>
      <c r="E112" s="4"/>
      <c r="F112" s="4"/>
      <c r="J112" s="88" t="s">
        <v>328</v>
      </c>
      <c r="K112" s="89" t="s">
        <v>329</v>
      </c>
      <c r="AM112" s="52" t="s">
        <v>920</v>
      </c>
      <c r="AN112" s="121" t="s">
        <v>1615</v>
      </c>
      <c r="AO112" s="121" t="s">
        <v>1444</v>
      </c>
      <c r="AQ112" s="52" t="s">
        <v>917</v>
      </c>
      <c r="AR112" s="52" t="s">
        <v>918</v>
      </c>
    </row>
    <row r="113" spans="1:44" ht="12" customHeight="1" thickBot="1">
      <c r="A113" s="4"/>
      <c r="B113" s="4"/>
      <c r="C113" s="4"/>
      <c r="D113" s="4"/>
      <c r="E113" s="4"/>
      <c r="F113" s="4"/>
      <c r="J113" s="88" t="s">
        <v>324</v>
      </c>
      <c r="K113" s="89" t="s">
        <v>325</v>
      </c>
      <c r="AM113" s="52" t="s">
        <v>922</v>
      </c>
      <c r="AN113" s="121" t="s">
        <v>1616</v>
      </c>
      <c r="AO113" s="121" t="s">
        <v>1446</v>
      </c>
      <c r="AQ113" s="52" t="s">
        <v>919</v>
      </c>
      <c r="AR113" s="52" t="s">
        <v>920</v>
      </c>
    </row>
    <row r="114" spans="1:44" ht="12" customHeight="1" thickBot="1">
      <c r="A114" s="4"/>
      <c r="B114" s="4"/>
      <c r="C114" s="4"/>
      <c r="D114" s="4"/>
      <c r="E114" s="4"/>
      <c r="F114" s="4"/>
      <c r="J114" s="88" t="s">
        <v>338</v>
      </c>
      <c r="K114" s="89" t="s">
        <v>339</v>
      </c>
      <c r="AM114" s="52" t="s">
        <v>924</v>
      </c>
      <c r="AN114" s="121" t="s">
        <v>1617</v>
      </c>
      <c r="AO114" s="121" t="s">
        <v>1448</v>
      </c>
      <c r="AQ114" s="52" t="s">
        <v>921</v>
      </c>
      <c r="AR114" s="52" t="s">
        <v>922</v>
      </c>
    </row>
    <row r="115" spans="1:44" ht="12" customHeight="1" thickBot="1">
      <c r="A115" s="4"/>
      <c r="B115" s="4"/>
      <c r="C115" s="4"/>
      <c r="D115" s="4"/>
      <c r="E115" s="4"/>
      <c r="F115" s="4"/>
      <c r="J115" s="88" t="s">
        <v>336</v>
      </c>
      <c r="K115" s="89" t="s">
        <v>337</v>
      </c>
      <c r="AM115" s="52" t="s">
        <v>926</v>
      </c>
      <c r="AN115" s="121" t="s">
        <v>1618</v>
      </c>
      <c r="AO115" s="121" t="s">
        <v>1547</v>
      </c>
      <c r="AQ115" s="52" t="s">
        <v>923</v>
      </c>
      <c r="AR115" s="52" t="s">
        <v>924</v>
      </c>
    </row>
    <row r="116" spans="1:44" ht="12" customHeight="1" thickBot="1">
      <c r="A116" s="4"/>
      <c r="B116" s="4"/>
      <c r="C116" s="4"/>
      <c r="D116" s="4"/>
      <c r="E116" s="4"/>
      <c r="F116" s="4"/>
      <c r="J116" s="88" t="s">
        <v>344</v>
      </c>
      <c r="K116" s="89" t="s">
        <v>345</v>
      </c>
      <c r="AM116" s="52" t="s">
        <v>928</v>
      </c>
      <c r="AN116" s="121" t="s">
        <v>1619</v>
      </c>
      <c r="AO116" s="121" t="s">
        <v>1464</v>
      </c>
      <c r="AQ116" s="52" t="s">
        <v>925</v>
      </c>
      <c r="AR116" s="52" t="s">
        <v>926</v>
      </c>
    </row>
    <row r="117" spans="1:44" ht="12" customHeight="1" thickBot="1">
      <c r="A117" s="4"/>
      <c r="B117" s="4"/>
      <c r="C117" s="4"/>
      <c r="D117" s="4"/>
      <c r="E117" s="4"/>
      <c r="F117" s="4"/>
      <c r="J117" s="88" t="s">
        <v>342</v>
      </c>
      <c r="K117" s="89" t="s">
        <v>343</v>
      </c>
      <c r="AM117" s="52" t="s">
        <v>930</v>
      </c>
      <c r="AN117" s="121" t="s">
        <v>1620</v>
      </c>
      <c r="AO117" s="121" t="s">
        <v>1450</v>
      </c>
      <c r="AQ117" s="52" t="s">
        <v>927</v>
      </c>
      <c r="AR117" s="52" t="s">
        <v>928</v>
      </c>
    </row>
    <row r="118" spans="1:44" ht="12" customHeight="1" thickBot="1">
      <c r="A118" s="4"/>
      <c r="B118" s="4"/>
      <c r="C118" s="4"/>
      <c r="D118" s="4"/>
      <c r="E118" s="4"/>
      <c r="F118" s="4"/>
      <c r="J118" s="88" t="s">
        <v>332</v>
      </c>
      <c r="K118" s="89" t="s">
        <v>333</v>
      </c>
      <c r="AM118" s="52" t="s">
        <v>932</v>
      </c>
      <c r="AN118" s="121" t="s">
        <v>1621</v>
      </c>
      <c r="AO118" s="121" t="s">
        <v>1447</v>
      </c>
      <c r="AQ118" s="52" t="s">
        <v>929</v>
      </c>
      <c r="AR118" s="52" t="s">
        <v>930</v>
      </c>
    </row>
    <row r="119" spans="1:44" ht="12" customHeight="1" thickBot="1">
      <c r="A119" s="4"/>
      <c r="B119" s="4"/>
      <c r="C119" s="4"/>
      <c r="D119" s="4"/>
      <c r="E119" s="4"/>
      <c r="F119" s="4"/>
      <c r="J119" s="88" t="s">
        <v>334</v>
      </c>
      <c r="K119" s="89" t="s">
        <v>335</v>
      </c>
      <c r="AM119" s="52" t="s">
        <v>934</v>
      </c>
      <c r="AN119" s="121" t="s">
        <v>1622</v>
      </c>
      <c r="AO119" s="121" t="s">
        <v>1452</v>
      </c>
      <c r="AQ119" s="52" t="s">
        <v>931</v>
      </c>
      <c r="AR119" s="52" t="s">
        <v>932</v>
      </c>
    </row>
    <row r="120" spans="1:44" ht="12" customHeight="1" thickBot="1">
      <c r="A120" s="4"/>
      <c r="B120" s="4"/>
      <c r="C120" s="4"/>
      <c r="D120" s="4"/>
      <c r="E120" s="4"/>
      <c r="F120" s="4"/>
      <c r="J120" s="88" t="s">
        <v>326</v>
      </c>
      <c r="K120" s="89" t="s">
        <v>327</v>
      </c>
      <c r="AM120" s="52" t="s">
        <v>713</v>
      </c>
      <c r="AN120" s="121" t="s">
        <v>1623</v>
      </c>
      <c r="AO120" s="121" t="s">
        <v>1766</v>
      </c>
      <c r="AQ120" s="52" t="s">
        <v>933</v>
      </c>
      <c r="AR120" s="52" t="s">
        <v>934</v>
      </c>
    </row>
    <row r="121" spans="1:44" ht="12" customHeight="1" thickBot="1">
      <c r="A121" s="4"/>
      <c r="B121" s="4"/>
      <c r="C121" s="4"/>
      <c r="D121" s="4"/>
      <c r="E121" s="4"/>
      <c r="F121" s="4"/>
      <c r="J121" s="88" t="s">
        <v>340</v>
      </c>
      <c r="K121" s="89" t="s">
        <v>341</v>
      </c>
      <c r="AM121" s="52" t="s">
        <v>937</v>
      </c>
      <c r="AN121" s="121" t="s">
        <v>232</v>
      </c>
      <c r="AO121" s="121" t="s">
        <v>1455</v>
      </c>
      <c r="AQ121" s="52" t="s">
        <v>935</v>
      </c>
      <c r="AR121" s="52" t="s">
        <v>713</v>
      </c>
    </row>
    <row r="122" spans="1:44" ht="12" customHeight="1" thickBot="1">
      <c r="A122" s="4"/>
      <c r="B122" s="4"/>
      <c r="C122" s="4"/>
      <c r="D122" s="4"/>
      <c r="E122" s="4"/>
      <c r="F122" s="4"/>
      <c r="J122" s="88" t="s">
        <v>365</v>
      </c>
      <c r="K122" s="89" t="s">
        <v>366</v>
      </c>
      <c r="AM122" s="52" t="s">
        <v>1313</v>
      </c>
      <c r="AN122" s="121" t="s">
        <v>1624</v>
      </c>
      <c r="AO122" s="121" t="s">
        <v>1454</v>
      </c>
      <c r="AQ122" s="52" t="s">
        <v>936</v>
      </c>
      <c r="AR122" s="52" t="s">
        <v>937</v>
      </c>
    </row>
    <row r="123" spans="1:44" ht="12" customHeight="1" thickBot="1">
      <c r="A123" s="4"/>
      <c r="B123" s="4"/>
      <c r="C123" s="4"/>
      <c r="D123" s="4"/>
      <c r="E123" s="4"/>
      <c r="F123" s="4"/>
      <c r="J123" s="88" t="s">
        <v>353</v>
      </c>
      <c r="K123" s="89" t="s">
        <v>354</v>
      </c>
      <c r="AM123" s="52" t="s">
        <v>1314</v>
      </c>
      <c r="AN123" s="121" t="s">
        <v>228</v>
      </c>
      <c r="AO123" s="121" t="s">
        <v>1453</v>
      </c>
      <c r="AQ123" s="52" t="s">
        <v>938</v>
      </c>
      <c r="AR123" s="52" t="s">
        <v>1313</v>
      </c>
    </row>
    <row r="124" spans="1:44" ht="12" customHeight="1" thickBot="1">
      <c r="A124" s="4"/>
      <c r="B124" s="4"/>
      <c r="C124" s="4"/>
      <c r="D124" s="4"/>
      <c r="E124" s="4"/>
      <c r="F124" s="4"/>
      <c r="J124" s="88" t="s">
        <v>348</v>
      </c>
      <c r="K124" s="89" t="s">
        <v>349</v>
      </c>
      <c r="AM124" s="52" t="s">
        <v>1315</v>
      </c>
      <c r="AN124" s="121" t="s">
        <v>236</v>
      </c>
      <c r="AO124" s="121" t="s">
        <v>1456</v>
      </c>
      <c r="AQ124" s="52" t="s">
        <v>939</v>
      </c>
      <c r="AR124" s="52" t="s">
        <v>1314</v>
      </c>
    </row>
    <row r="125" spans="1:44" ht="12" customHeight="1" thickBot="1">
      <c r="A125" s="4"/>
      <c r="B125" s="4"/>
      <c r="C125" s="4"/>
      <c r="D125" s="4"/>
      <c r="E125" s="4"/>
      <c r="F125" s="4"/>
      <c r="J125" s="88" t="s">
        <v>355</v>
      </c>
      <c r="K125" s="89" t="s">
        <v>356</v>
      </c>
      <c r="AM125" s="52" t="s">
        <v>942</v>
      </c>
      <c r="AN125" s="121" t="s">
        <v>1625</v>
      </c>
      <c r="AO125" s="121" t="s">
        <v>1767</v>
      </c>
      <c r="AQ125" s="52" t="s">
        <v>940</v>
      </c>
      <c r="AR125" s="52" t="s">
        <v>1315</v>
      </c>
    </row>
    <row r="126" spans="1:44" ht="12" customHeight="1" thickBot="1">
      <c r="A126" s="4"/>
      <c r="B126" s="4"/>
      <c r="C126" s="4"/>
      <c r="D126" s="4"/>
      <c r="E126" s="4"/>
      <c r="F126" s="4"/>
      <c r="J126" s="88" t="s">
        <v>304</v>
      </c>
      <c r="K126" s="89" t="s">
        <v>303</v>
      </c>
      <c r="AM126" s="52" t="s">
        <v>1316</v>
      </c>
      <c r="AN126" s="121" t="s">
        <v>1626</v>
      </c>
      <c r="AO126" s="121" t="s">
        <v>1768</v>
      </c>
      <c r="AQ126" s="52" t="s">
        <v>941</v>
      </c>
      <c r="AR126" s="52" t="s">
        <v>942</v>
      </c>
    </row>
    <row r="127" spans="1:44" ht="12" customHeight="1" thickBot="1">
      <c r="A127" s="4"/>
      <c r="B127" s="4"/>
      <c r="C127" s="4"/>
      <c r="D127" s="4"/>
      <c r="E127" s="4"/>
      <c r="F127" s="4"/>
      <c r="J127" s="88" t="s">
        <v>302</v>
      </c>
      <c r="K127" s="89" t="s">
        <v>303</v>
      </c>
      <c r="AM127" s="52" t="s">
        <v>1317</v>
      </c>
      <c r="AN127" s="121" t="s">
        <v>1627</v>
      </c>
      <c r="AO127" s="121" t="s">
        <v>1551</v>
      </c>
      <c r="AQ127" s="52" t="s">
        <v>943</v>
      </c>
      <c r="AR127" s="52" t="s">
        <v>1316</v>
      </c>
    </row>
    <row r="128" spans="1:44" ht="12" customHeight="1" thickBot="1">
      <c r="A128" s="4"/>
      <c r="B128" s="4"/>
      <c r="C128" s="4"/>
      <c r="D128" s="4"/>
      <c r="E128" s="4"/>
      <c r="F128" s="4"/>
      <c r="J128" s="88" t="s">
        <v>359</v>
      </c>
      <c r="K128" s="89" t="s">
        <v>360</v>
      </c>
      <c r="AM128" s="52" t="s">
        <v>1318</v>
      </c>
      <c r="AN128" s="121" t="s">
        <v>1628</v>
      </c>
      <c r="AO128" s="121" t="s">
        <v>1457</v>
      </c>
      <c r="AQ128" s="52" t="s">
        <v>944</v>
      </c>
      <c r="AR128" s="52" t="s">
        <v>1317</v>
      </c>
    </row>
    <row r="129" spans="1:44" ht="12" customHeight="1" thickBot="1">
      <c r="A129" s="4"/>
      <c r="B129" s="4"/>
      <c r="C129" s="4"/>
      <c r="D129" s="4"/>
      <c r="E129" s="4"/>
      <c r="F129" s="4"/>
      <c r="J129" s="88" t="s">
        <v>361</v>
      </c>
      <c r="K129" s="89" t="s">
        <v>362</v>
      </c>
      <c r="AM129" s="52" t="s">
        <v>947</v>
      </c>
      <c r="AN129" s="121" t="s">
        <v>1629</v>
      </c>
      <c r="AO129" s="121" t="s">
        <v>1462</v>
      </c>
      <c r="AQ129" s="52" t="s">
        <v>945</v>
      </c>
      <c r="AR129" s="52" t="s">
        <v>1318</v>
      </c>
    </row>
    <row r="130" spans="1:44" ht="12" customHeight="1" thickBot="1">
      <c r="A130" s="4"/>
      <c r="B130" s="4"/>
      <c r="C130" s="4"/>
      <c r="D130" s="4"/>
      <c r="E130" s="4"/>
      <c r="F130" s="4"/>
      <c r="J130" s="88" t="s">
        <v>346</v>
      </c>
      <c r="K130" s="89" t="s">
        <v>347</v>
      </c>
      <c r="AM130" s="52" t="s">
        <v>1319</v>
      </c>
      <c r="AN130" s="121" t="s">
        <v>1630</v>
      </c>
      <c r="AO130" s="121" t="s">
        <v>1459</v>
      </c>
      <c r="AQ130" s="52" t="s">
        <v>946</v>
      </c>
      <c r="AR130" s="52" t="s">
        <v>947</v>
      </c>
    </row>
    <row r="131" spans="1:44" ht="12" customHeight="1" thickBot="1">
      <c r="A131" s="4"/>
      <c r="B131" s="4"/>
      <c r="C131" s="4"/>
      <c r="D131" s="4"/>
      <c r="E131" s="4"/>
      <c r="F131" s="4"/>
      <c r="J131" s="88" t="s">
        <v>363</v>
      </c>
      <c r="K131" s="89" t="s">
        <v>364</v>
      </c>
      <c r="AM131" s="52" t="s">
        <v>1320</v>
      </c>
      <c r="AN131" s="121" t="s">
        <v>1631</v>
      </c>
      <c r="AO131" s="121" t="s">
        <v>1441</v>
      </c>
      <c r="AQ131" s="52" t="s">
        <v>948</v>
      </c>
      <c r="AR131" s="52" t="s">
        <v>1319</v>
      </c>
    </row>
    <row r="132" spans="1:44" ht="12" customHeight="1" thickBot="1">
      <c r="A132" s="4"/>
      <c r="B132" s="4"/>
      <c r="C132" s="4"/>
      <c r="D132" s="4"/>
      <c r="E132" s="4"/>
      <c r="F132" s="4"/>
      <c r="J132" s="88" t="s">
        <v>350</v>
      </c>
      <c r="K132" s="89" t="s">
        <v>351</v>
      </c>
      <c r="AM132" s="52" t="s">
        <v>951</v>
      </c>
      <c r="AN132" s="121" t="s">
        <v>1632</v>
      </c>
      <c r="AO132" s="121" t="s">
        <v>1460</v>
      </c>
      <c r="AQ132" s="52" t="s">
        <v>949</v>
      </c>
      <c r="AR132" s="52" t="s">
        <v>1320</v>
      </c>
    </row>
    <row r="133" spans="1:44" ht="12" customHeight="1" thickBot="1">
      <c r="A133" s="4"/>
      <c r="B133" s="4"/>
      <c r="C133" s="4"/>
      <c r="D133" s="4"/>
      <c r="E133" s="4"/>
      <c r="F133" s="4"/>
      <c r="J133" s="88" t="s">
        <v>367</v>
      </c>
      <c r="K133" s="89" t="s">
        <v>368</v>
      </c>
      <c r="AM133" s="52" t="s">
        <v>1321</v>
      </c>
      <c r="AN133" s="121" t="s">
        <v>240</v>
      </c>
      <c r="AO133" s="121" t="s">
        <v>1255</v>
      </c>
      <c r="AQ133" s="52" t="s">
        <v>950</v>
      </c>
      <c r="AR133" s="52" t="s">
        <v>951</v>
      </c>
    </row>
    <row r="134" spans="1:44" ht="12" customHeight="1" thickBot="1">
      <c r="A134" s="4"/>
      <c r="B134" s="4"/>
      <c r="C134" s="4"/>
      <c r="D134" s="4"/>
      <c r="E134" s="4"/>
      <c r="F134" s="4"/>
      <c r="J134" s="88" t="s">
        <v>357</v>
      </c>
      <c r="K134" s="89" t="s">
        <v>358</v>
      </c>
      <c r="AM134" s="52" t="s">
        <v>954</v>
      </c>
      <c r="AN134" s="121" t="s">
        <v>1633</v>
      </c>
      <c r="AO134" s="121" t="s">
        <v>1465</v>
      </c>
      <c r="AQ134" s="52" t="s">
        <v>952</v>
      </c>
      <c r="AR134" s="52" t="s">
        <v>1321</v>
      </c>
    </row>
    <row r="135" spans="1:44" ht="12" customHeight="1" thickBot="1">
      <c r="A135" s="4"/>
      <c r="B135" s="4"/>
      <c r="C135" s="4"/>
      <c r="D135" s="4"/>
      <c r="E135" s="4"/>
      <c r="F135" s="4"/>
      <c r="J135" s="88" t="s">
        <v>276</v>
      </c>
      <c r="K135" s="89" t="s">
        <v>277</v>
      </c>
      <c r="AM135" s="52" t="s">
        <v>956</v>
      </c>
      <c r="AN135" s="121" t="s">
        <v>1634</v>
      </c>
      <c r="AO135" s="121" t="s">
        <v>1461</v>
      </c>
      <c r="AQ135" s="52" t="s">
        <v>953</v>
      </c>
      <c r="AR135" s="52" t="s">
        <v>954</v>
      </c>
    </row>
    <row r="136" spans="1:44" ht="12" customHeight="1" thickBot="1">
      <c r="A136" s="4"/>
      <c r="B136" s="4"/>
      <c r="C136" s="4"/>
      <c r="D136" s="4"/>
      <c r="E136" s="4"/>
      <c r="F136" s="4"/>
      <c r="J136" s="88" t="s">
        <v>379</v>
      </c>
      <c r="K136" s="89" t="s">
        <v>380</v>
      </c>
      <c r="AM136" s="52" t="s">
        <v>958</v>
      </c>
      <c r="AN136" s="121" t="s">
        <v>1635</v>
      </c>
      <c r="AO136" s="121" t="s">
        <v>1458</v>
      </c>
      <c r="AQ136" s="52" t="s">
        <v>955</v>
      </c>
      <c r="AR136" s="52" t="s">
        <v>956</v>
      </c>
    </row>
    <row r="137" spans="1:44" ht="12" customHeight="1" thickBot="1">
      <c r="A137" s="4"/>
      <c r="B137" s="4"/>
      <c r="C137" s="4"/>
      <c r="D137" s="4"/>
      <c r="E137" s="4"/>
      <c r="F137" s="4"/>
      <c r="J137" s="88" t="s">
        <v>369</v>
      </c>
      <c r="K137" s="89" t="s">
        <v>370</v>
      </c>
      <c r="AM137" s="52" t="s">
        <v>1322</v>
      </c>
      <c r="AN137" s="121" t="s">
        <v>1636</v>
      </c>
      <c r="AO137" s="121" t="s">
        <v>1769</v>
      </c>
      <c r="AQ137" s="52" t="s">
        <v>957</v>
      </c>
      <c r="AR137" s="52" t="s">
        <v>958</v>
      </c>
    </row>
    <row r="138" spans="1:44" ht="12" customHeight="1" thickBot="1">
      <c r="A138" s="4"/>
      <c r="B138" s="4"/>
      <c r="C138" s="4"/>
      <c r="D138" s="4"/>
      <c r="E138" s="4"/>
      <c r="F138" s="4"/>
      <c r="J138" s="88" t="s">
        <v>373</v>
      </c>
      <c r="K138" s="89" t="s">
        <v>374</v>
      </c>
      <c r="AM138" s="52" t="s">
        <v>1323</v>
      </c>
      <c r="AN138" s="121" t="s">
        <v>1637</v>
      </c>
      <c r="AO138" s="121" t="s">
        <v>1256</v>
      </c>
      <c r="AQ138" s="52" t="s">
        <v>959</v>
      </c>
      <c r="AR138" s="52" t="s">
        <v>1322</v>
      </c>
    </row>
    <row r="139" spans="1:44" ht="12" customHeight="1" thickBot="1">
      <c r="A139" s="4"/>
      <c r="B139" s="4"/>
      <c r="C139" s="4"/>
      <c r="D139" s="4"/>
      <c r="E139" s="4"/>
      <c r="F139" s="4"/>
      <c r="J139" s="90" t="s">
        <v>387</v>
      </c>
      <c r="K139" s="57" t="s">
        <v>388</v>
      </c>
      <c r="AM139" s="52" t="s">
        <v>963</v>
      </c>
      <c r="AN139" s="121" t="s">
        <v>1638</v>
      </c>
      <c r="AO139" s="121" t="s">
        <v>1466</v>
      </c>
      <c r="AQ139" s="52" t="s">
        <v>960</v>
      </c>
      <c r="AR139" s="52" t="s">
        <v>1323</v>
      </c>
    </row>
    <row r="140" spans="1:44" ht="12" customHeight="1" thickTop="1" thickBot="1">
      <c r="A140" s="4"/>
      <c r="B140" s="4"/>
      <c r="C140" s="4"/>
      <c r="D140" s="4"/>
      <c r="E140" s="4"/>
      <c r="F140" s="4"/>
      <c r="AM140" s="52" t="s">
        <v>965</v>
      </c>
      <c r="AN140" s="121" t="s">
        <v>1639</v>
      </c>
      <c r="AO140" s="121" t="s">
        <v>1253</v>
      </c>
      <c r="AQ140" s="52" t="s">
        <v>962</v>
      </c>
      <c r="AR140" s="52" t="s">
        <v>963</v>
      </c>
    </row>
    <row r="141" spans="1:44" ht="12" customHeight="1" thickBot="1">
      <c r="A141" s="4"/>
      <c r="B141" s="4"/>
      <c r="C141" s="4"/>
      <c r="D141" s="4"/>
      <c r="E141" s="4"/>
      <c r="F141" s="4"/>
      <c r="AM141" s="52" t="s">
        <v>967</v>
      </c>
      <c r="AN141" s="121" t="s">
        <v>1640</v>
      </c>
      <c r="AO141" s="121" t="s">
        <v>1463</v>
      </c>
      <c r="AQ141" s="52" t="s">
        <v>964</v>
      </c>
      <c r="AR141" s="52" t="s">
        <v>965</v>
      </c>
    </row>
    <row r="142" spans="1:44" ht="12" customHeight="1" thickBot="1">
      <c r="A142" s="4"/>
      <c r="B142" s="4"/>
      <c r="C142" s="4"/>
      <c r="D142" s="4"/>
      <c r="E142" s="4"/>
      <c r="F142" s="4"/>
      <c r="AM142" s="52" t="s">
        <v>969</v>
      </c>
      <c r="AN142" s="121" t="s">
        <v>1641</v>
      </c>
      <c r="AO142" s="121" t="s">
        <v>1770</v>
      </c>
      <c r="AQ142" s="52" t="s">
        <v>966</v>
      </c>
      <c r="AR142" s="52" t="s">
        <v>967</v>
      </c>
    </row>
    <row r="143" spans="1:44" ht="12" customHeight="1" thickBot="1">
      <c r="A143" s="4"/>
      <c r="B143" s="4"/>
      <c r="C143" s="4"/>
      <c r="D143" s="4"/>
      <c r="E143" s="4"/>
      <c r="F143" s="4"/>
      <c r="AM143" s="52" t="s">
        <v>971</v>
      </c>
      <c r="AN143" s="121" t="s">
        <v>1642</v>
      </c>
      <c r="AO143" s="121" t="s">
        <v>1467</v>
      </c>
      <c r="AQ143" s="52" t="s">
        <v>968</v>
      </c>
      <c r="AR143" s="52" t="s">
        <v>969</v>
      </c>
    </row>
    <row r="144" spans="1:44" ht="12" customHeight="1" thickBot="1">
      <c r="A144" s="4"/>
      <c r="B144" s="4"/>
      <c r="C144" s="4"/>
      <c r="D144" s="4"/>
      <c r="E144" s="4"/>
      <c r="F144" s="4"/>
      <c r="AM144" s="52" t="s">
        <v>973</v>
      </c>
      <c r="AN144" s="121" t="s">
        <v>1643</v>
      </c>
      <c r="AO144" s="121" t="s">
        <v>1470</v>
      </c>
      <c r="AQ144" s="52" t="s">
        <v>970</v>
      </c>
      <c r="AR144" s="52" t="s">
        <v>971</v>
      </c>
    </row>
    <row r="145" spans="1:44" ht="12" customHeight="1" thickBot="1">
      <c r="A145" s="4"/>
      <c r="B145" s="4"/>
      <c r="C145" s="4"/>
      <c r="D145" s="4"/>
      <c r="E145" s="4"/>
      <c r="F145" s="4"/>
      <c r="AM145" s="52" t="s">
        <v>975</v>
      </c>
      <c r="AN145" s="121" t="s">
        <v>1644</v>
      </c>
      <c r="AO145" s="121" t="s">
        <v>1771</v>
      </c>
      <c r="AQ145" s="52" t="s">
        <v>972</v>
      </c>
      <c r="AR145" s="52" t="s">
        <v>973</v>
      </c>
    </row>
    <row r="146" spans="1:44" ht="12" customHeight="1" thickBot="1">
      <c r="A146" s="4"/>
      <c r="B146" s="4"/>
      <c r="C146" s="4"/>
      <c r="D146" s="4"/>
      <c r="E146" s="4"/>
      <c r="F146" s="4"/>
      <c r="AM146" s="52" t="s">
        <v>977</v>
      </c>
      <c r="AN146" s="121" t="s">
        <v>370</v>
      </c>
      <c r="AO146" s="121" t="s">
        <v>1772</v>
      </c>
      <c r="AQ146" s="52" t="s">
        <v>974</v>
      </c>
      <c r="AR146" s="52" t="s">
        <v>975</v>
      </c>
    </row>
    <row r="147" spans="1:44" ht="12" customHeight="1" thickBot="1">
      <c r="A147" s="4"/>
      <c r="B147" s="4"/>
      <c r="C147" s="4"/>
      <c r="D147" s="4"/>
      <c r="E147" s="4"/>
      <c r="F147" s="4"/>
      <c r="AM147" s="52" t="s">
        <v>979</v>
      </c>
      <c r="AN147" s="121" t="s">
        <v>1645</v>
      </c>
      <c r="AO147" s="121" t="s">
        <v>1468</v>
      </c>
      <c r="AQ147" s="52" t="s">
        <v>976</v>
      </c>
      <c r="AR147" s="52" t="s">
        <v>977</v>
      </c>
    </row>
    <row r="148" spans="1:44" ht="12" customHeight="1" thickBot="1">
      <c r="A148" s="4"/>
      <c r="B148" s="4"/>
      <c r="C148" s="4"/>
      <c r="D148" s="4"/>
      <c r="E148" s="4"/>
      <c r="F148" s="4"/>
      <c r="AM148" s="52" t="s">
        <v>714</v>
      </c>
      <c r="AN148" s="121" t="s">
        <v>1646</v>
      </c>
      <c r="AO148" s="121" t="s">
        <v>1257</v>
      </c>
      <c r="AQ148" s="52" t="s">
        <v>978</v>
      </c>
      <c r="AR148" s="52" t="s">
        <v>979</v>
      </c>
    </row>
    <row r="149" spans="1:44" ht="12" customHeight="1" thickBot="1">
      <c r="A149" s="4"/>
      <c r="B149" s="4"/>
      <c r="C149" s="4"/>
      <c r="D149" s="4"/>
      <c r="E149" s="4"/>
      <c r="F149" s="4"/>
      <c r="AM149" s="52" t="s">
        <v>982</v>
      </c>
      <c r="AN149" s="121" t="s">
        <v>1647</v>
      </c>
      <c r="AO149" s="121" t="s">
        <v>1471</v>
      </c>
      <c r="AQ149" s="52" t="s">
        <v>980</v>
      </c>
      <c r="AR149" s="52" t="s">
        <v>714</v>
      </c>
    </row>
    <row r="150" spans="1:44" ht="12" customHeight="1" thickBot="1">
      <c r="A150" s="4"/>
      <c r="B150" s="4"/>
      <c r="C150" s="4"/>
      <c r="D150" s="4"/>
      <c r="E150" s="4"/>
      <c r="F150" s="4"/>
      <c r="AM150" s="52" t="s">
        <v>1324</v>
      </c>
      <c r="AN150" s="121" t="s">
        <v>1648</v>
      </c>
      <c r="AO150" s="121" t="s">
        <v>1478</v>
      </c>
      <c r="AQ150" s="52" t="s">
        <v>981</v>
      </c>
      <c r="AR150" s="52" t="s">
        <v>982</v>
      </c>
    </row>
    <row r="151" spans="1:44" ht="12" customHeight="1" thickBot="1">
      <c r="A151" s="4"/>
      <c r="B151" s="4"/>
      <c r="C151" s="4"/>
      <c r="D151" s="4"/>
      <c r="E151" s="4"/>
      <c r="F151" s="4"/>
      <c r="AM151" s="52" t="s">
        <v>1325</v>
      </c>
      <c r="AN151" s="121" t="s">
        <v>248</v>
      </c>
      <c r="AO151" s="121" t="s">
        <v>1475</v>
      </c>
      <c r="AQ151" s="52" t="s">
        <v>1153</v>
      </c>
      <c r="AR151" s="52" t="s">
        <v>1324</v>
      </c>
    </row>
    <row r="152" spans="1:44" ht="12" customHeight="1" thickBot="1">
      <c r="A152" s="4"/>
      <c r="B152" s="4"/>
      <c r="C152" s="4"/>
      <c r="D152" s="4"/>
      <c r="E152" s="4"/>
      <c r="F152" s="4"/>
      <c r="AM152" s="52" t="s">
        <v>1326</v>
      </c>
      <c r="AN152" s="121" t="s">
        <v>1649</v>
      </c>
      <c r="AO152" s="121" t="s">
        <v>1472</v>
      </c>
      <c r="AQ152" s="52" t="s">
        <v>961</v>
      </c>
      <c r="AR152" s="52" t="s">
        <v>1325</v>
      </c>
    </row>
    <row r="153" spans="1:44" ht="12" customHeight="1" thickBot="1">
      <c r="A153" s="4"/>
      <c r="B153" s="4"/>
      <c r="C153" s="4"/>
      <c r="D153" s="4"/>
      <c r="E153" s="4"/>
      <c r="F153" s="4"/>
      <c r="AM153" s="52" t="s">
        <v>1327</v>
      </c>
      <c r="AN153" s="121" t="s">
        <v>1650</v>
      </c>
      <c r="AO153" s="121" t="s">
        <v>1773</v>
      </c>
      <c r="AQ153" s="52" t="s">
        <v>1217</v>
      </c>
      <c r="AR153" s="52" t="s">
        <v>1326</v>
      </c>
    </row>
    <row r="154" spans="1:44" ht="12" customHeight="1" thickBot="1">
      <c r="A154" s="4"/>
      <c r="B154" s="4"/>
      <c r="C154" s="4"/>
      <c r="D154" s="4"/>
      <c r="E154" s="4"/>
      <c r="F154" s="4"/>
      <c r="AM154" s="52" t="s">
        <v>985</v>
      </c>
      <c r="AN154" s="121" t="s">
        <v>1651</v>
      </c>
      <c r="AO154" s="121" t="s">
        <v>1477</v>
      </c>
      <c r="AQ154" s="52" t="s">
        <v>983</v>
      </c>
      <c r="AR154" s="52" t="s">
        <v>1327</v>
      </c>
    </row>
    <row r="155" spans="1:44" ht="12" customHeight="1" thickBot="1">
      <c r="A155" s="4"/>
      <c r="B155" s="4"/>
      <c r="C155" s="4"/>
      <c r="D155" s="4"/>
      <c r="E155" s="4"/>
      <c r="F155" s="4"/>
      <c r="AM155" s="52" t="s">
        <v>987</v>
      </c>
      <c r="AN155" s="121" t="s">
        <v>1652</v>
      </c>
      <c r="AO155" s="121" t="s">
        <v>1473</v>
      </c>
      <c r="AQ155" s="52" t="s">
        <v>984</v>
      </c>
      <c r="AR155" s="52" t="s">
        <v>985</v>
      </c>
    </row>
    <row r="156" spans="1:44" ht="12" customHeight="1" thickBot="1">
      <c r="A156" s="4"/>
      <c r="B156" s="4"/>
      <c r="C156" s="4"/>
      <c r="D156" s="4"/>
      <c r="E156" s="4"/>
      <c r="F156" s="4"/>
      <c r="AM156" s="52" t="s">
        <v>989</v>
      </c>
      <c r="AN156" s="121" t="s">
        <v>1586</v>
      </c>
      <c r="AO156" s="121" t="s">
        <v>1774</v>
      </c>
      <c r="AQ156" s="52" t="s">
        <v>986</v>
      </c>
      <c r="AR156" s="52" t="s">
        <v>987</v>
      </c>
    </row>
    <row r="157" spans="1:44" ht="12" customHeight="1" thickBot="1">
      <c r="A157" s="4"/>
      <c r="B157" s="4"/>
      <c r="C157" s="4"/>
      <c r="D157" s="4"/>
      <c r="E157" s="4"/>
      <c r="F157" s="4"/>
      <c r="AM157" s="52" t="s">
        <v>991</v>
      </c>
      <c r="AN157" s="121" t="s">
        <v>1653</v>
      </c>
      <c r="AO157" s="121" t="s">
        <v>1474</v>
      </c>
      <c r="AQ157" s="52" t="s">
        <v>988</v>
      </c>
      <c r="AR157" s="52" t="s">
        <v>989</v>
      </c>
    </row>
    <row r="158" spans="1:44" ht="12" customHeight="1" thickBot="1">
      <c r="A158" s="4"/>
      <c r="B158" s="4"/>
      <c r="C158" s="4"/>
      <c r="D158" s="4"/>
      <c r="E158" s="4"/>
      <c r="F158" s="4"/>
      <c r="AM158" s="52" t="s">
        <v>1328</v>
      </c>
      <c r="AN158" s="121" t="s">
        <v>1654</v>
      </c>
      <c r="AO158" s="121" t="s">
        <v>1479</v>
      </c>
      <c r="AQ158" s="52" t="s">
        <v>990</v>
      </c>
      <c r="AR158" s="52" t="s">
        <v>991</v>
      </c>
    </row>
    <row r="159" spans="1:44" ht="12" customHeight="1" thickBot="1">
      <c r="A159" s="4"/>
      <c r="B159" s="4"/>
      <c r="C159" s="4"/>
      <c r="D159" s="4"/>
      <c r="E159" s="4"/>
      <c r="F159" s="4"/>
      <c r="AM159" s="52" t="s">
        <v>1329</v>
      </c>
      <c r="AN159" s="121" t="s">
        <v>1655</v>
      </c>
      <c r="AO159" s="121" t="s">
        <v>1267</v>
      </c>
      <c r="AQ159" s="52" t="s">
        <v>992</v>
      </c>
      <c r="AR159" s="52" t="s">
        <v>1328</v>
      </c>
    </row>
    <row r="160" spans="1:44" ht="12" customHeight="1" thickBot="1">
      <c r="A160" s="4"/>
      <c r="B160" s="4"/>
      <c r="C160" s="4"/>
      <c r="D160" s="4"/>
      <c r="E160" s="4"/>
      <c r="F160" s="4"/>
      <c r="AM160" s="52" t="s">
        <v>1330</v>
      </c>
      <c r="AN160" s="121" t="s">
        <v>1656</v>
      </c>
      <c r="AO160" s="121" t="s">
        <v>1481</v>
      </c>
      <c r="AQ160" s="52" t="s">
        <v>993</v>
      </c>
      <c r="AR160" s="52" t="s">
        <v>1329</v>
      </c>
    </row>
    <row r="161" spans="1:44" ht="12" customHeight="1" thickBot="1">
      <c r="A161" s="4"/>
      <c r="B161" s="4"/>
      <c r="C161" s="4"/>
      <c r="D161" s="4"/>
      <c r="E161" s="4"/>
      <c r="F161" s="4"/>
      <c r="AM161" s="52" t="s">
        <v>996</v>
      </c>
      <c r="AN161" s="121" t="s">
        <v>1657</v>
      </c>
      <c r="AO161" s="121" t="s">
        <v>1775</v>
      </c>
      <c r="AQ161" s="52" t="s">
        <v>994</v>
      </c>
      <c r="AR161" s="52" t="s">
        <v>1330</v>
      </c>
    </row>
    <row r="162" spans="1:44" ht="12" customHeight="1" thickBot="1">
      <c r="A162" s="4"/>
      <c r="B162" s="4"/>
      <c r="C162" s="4"/>
      <c r="D162" s="4"/>
      <c r="E162" s="4"/>
      <c r="F162" s="4"/>
      <c r="AM162" s="52" t="s">
        <v>1000</v>
      </c>
      <c r="AN162" s="121" t="s">
        <v>1658</v>
      </c>
      <c r="AO162" s="121" t="s">
        <v>1480</v>
      </c>
      <c r="AQ162" s="52" t="s">
        <v>995</v>
      </c>
      <c r="AR162" s="52" t="s">
        <v>996</v>
      </c>
    </row>
    <row r="163" spans="1:44" ht="12" customHeight="1" thickBot="1">
      <c r="A163" s="4"/>
      <c r="B163" s="4"/>
      <c r="C163" s="4"/>
      <c r="D163" s="4"/>
      <c r="E163" s="4"/>
      <c r="F163" s="4"/>
      <c r="AM163" s="52" t="s">
        <v>1331</v>
      </c>
      <c r="AN163" s="121" t="s">
        <v>1659</v>
      </c>
      <c r="AO163" s="121" t="s">
        <v>1488</v>
      </c>
      <c r="AQ163" s="52" t="s">
        <v>999</v>
      </c>
      <c r="AR163" s="52" t="s">
        <v>1000</v>
      </c>
    </row>
    <row r="164" spans="1:44" ht="12" customHeight="1" thickBot="1">
      <c r="A164" s="4"/>
      <c r="B164" s="4"/>
      <c r="C164" s="4"/>
      <c r="D164" s="4"/>
      <c r="E164" s="4"/>
      <c r="F164" s="4"/>
      <c r="AM164" s="52" t="s">
        <v>1003</v>
      </c>
      <c r="AN164" s="121" t="s">
        <v>1660</v>
      </c>
      <c r="AO164" s="121" t="s">
        <v>1482</v>
      </c>
      <c r="AQ164" s="52" t="s">
        <v>1001</v>
      </c>
      <c r="AR164" s="52" t="s">
        <v>1331</v>
      </c>
    </row>
    <row r="165" spans="1:44" ht="12" customHeight="1" thickBot="1">
      <c r="A165" s="4"/>
      <c r="B165" s="4"/>
      <c r="C165" s="4"/>
      <c r="D165" s="4"/>
      <c r="E165" s="4"/>
      <c r="F165" s="4"/>
      <c r="AM165" s="52" t="s">
        <v>1005</v>
      </c>
      <c r="AN165" s="121" t="s">
        <v>1661</v>
      </c>
      <c r="AO165" s="121" t="s">
        <v>1485</v>
      </c>
      <c r="AQ165" s="52" t="s">
        <v>1002</v>
      </c>
      <c r="AR165" s="52" t="s">
        <v>1003</v>
      </c>
    </row>
    <row r="166" spans="1:44" ht="12" customHeight="1" thickBot="1">
      <c r="A166" s="4"/>
      <c r="B166" s="4"/>
      <c r="C166" s="4"/>
      <c r="D166" s="4"/>
      <c r="E166" s="4"/>
      <c r="F166" s="4"/>
      <c r="AM166" s="52" t="s">
        <v>1007</v>
      </c>
      <c r="AN166" s="121" t="s">
        <v>1662</v>
      </c>
      <c r="AO166" s="121" t="s">
        <v>1776</v>
      </c>
      <c r="AQ166" s="52" t="s">
        <v>1004</v>
      </c>
      <c r="AR166" s="52" t="s">
        <v>1005</v>
      </c>
    </row>
    <row r="167" spans="1:44" ht="12" customHeight="1" thickBot="1">
      <c r="A167" s="4"/>
      <c r="B167" s="4"/>
      <c r="C167" s="4"/>
      <c r="D167" s="4"/>
      <c r="E167" s="4"/>
      <c r="F167" s="4"/>
      <c r="AM167" s="52" t="s">
        <v>1332</v>
      </c>
      <c r="AN167" s="121" t="s">
        <v>1663</v>
      </c>
      <c r="AO167" s="121" t="s">
        <v>1777</v>
      </c>
      <c r="AQ167" s="52" t="s">
        <v>1006</v>
      </c>
      <c r="AR167" s="52" t="s">
        <v>1007</v>
      </c>
    </row>
    <row r="168" spans="1:44" ht="12" customHeight="1" thickBot="1">
      <c r="A168" s="4"/>
      <c r="B168" s="4"/>
      <c r="C168" s="4"/>
      <c r="D168" s="4"/>
      <c r="E168" s="4"/>
      <c r="F168" s="4"/>
      <c r="AM168" s="52" t="s">
        <v>1010</v>
      </c>
      <c r="AN168" s="121" t="s">
        <v>1664</v>
      </c>
      <c r="AO168" s="121" t="s">
        <v>1260</v>
      </c>
      <c r="AQ168" s="52" t="s">
        <v>1008</v>
      </c>
      <c r="AR168" s="52" t="s">
        <v>1332</v>
      </c>
    </row>
    <row r="169" spans="1:44" ht="12" customHeight="1" thickBot="1">
      <c r="A169" s="4"/>
      <c r="B169" s="4"/>
      <c r="C169" s="4"/>
      <c r="D169" s="4"/>
      <c r="E169" s="4"/>
      <c r="F169" s="4"/>
      <c r="AM169" s="52" t="s">
        <v>1012</v>
      </c>
      <c r="AN169" s="121" t="s">
        <v>80</v>
      </c>
      <c r="AO169" s="121" t="s">
        <v>1483</v>
      </c>
      <c r="AQ169" s="52" t="s">
        <v>1009</v>
      </c>
      <c r="AR169" s="52" t="s">
        <v>1010</v>
      </c>
    </row>
    <row r="170" spans="1:44" ht="12" customHeight="1" thickBot="1">
      <c r="A170" s="4"/>
      <c r="B170" s="4"/>
      <c r="C170" s="4"/>
      <c r="D170" s="4"/>
      <c r="E170" s="4"/>
      <c r="F170" s="4"/>
      <c r="AM170" s="52" t="s">
        <v>1333</v>
      </c>
      <c r="AN170" s="121" t="s">
        <v>1665</v>
      </c>
      <c r="AO170" s="121" t="s">
        <v>1778</v>
      </c>
      <c r="AQ170" s="52" t="s">
        <v>1011</v>
      </c>
      <c r="AR170" s="52" t="s">
        <v>1012</v>
      </c>
    </row>
    <row r="171" spans="1:44" ht="12" customHeight="1" thickBot="1">
      <c r="A171" s="4"/>
      <c r="B171" s="4"/>
      <c r="C171" s="4"/>
      <c r="D171" s="4"/>
      <c r="E171" s="4"/>
      <c r="F171" s="4"/>
      <c r="AM171" s="52" t="s">
        <v>1015</v>
      </c>
      <c r="AN171" s="121" t="s">
        <v>1666</v>
      </c>
      <c r="AO171" s="121" t="s">
        <v>1496</v>
      </c>
      <c r="AQ171" s="52" t="s">
        <v>1013</v>
      </c>
      <c r="AR171" s="52" t="s">
        <v>1333</v>
      </c>
    </row>
    <row r="172" spans="1:44" ht="12" customHeight="1" thickBot="1">
      <c r="A172" s="4"/>
      <c r="B172" s="4"/>
      <c r="C172" s="4"/>
      <c r="D172" s="4"/>
      <c r="E172" s="4"/>
      <c r="F172" s="4"/>
      <c r="AM172" s="52" t="s">
        <v>1334</v>
      </c>
      <c r="AN172" s="121" t="s">
        <v>1667</v>
      </c>
      <c r="AO172" s="121" t="s">
        <v>1489</v>
      </c>
      <c r="AQ172" s="52" t="s">
        <v>1014</v>
      </c>
      <c r="AR172" s="52" t="s">
        <v>1015</v>
      </c>
    </row>
    <row r="173" spans="1:44" ht="12" customHeight="1" thickBot="1">
      <c r="A173" s="4"/>
      <c r="B173" s="4"/>
      <c r="C173" s="4"/>
      <c r="D173" s="4"/>
      <c r="E173" s="4"/>
      <c r="F173" s="4"/>
      <c r="AM173" s="52" t="s">
        <v>1335</v>
      </c>
      <c r="AN173" s="121" t="s">
        <v>1668</v>
      </c>
      <c r="AO173" s="121" t="s">
        <v>1494</v>
      </c>
      <c r="AQ173" s="52" t="s">
        <v>1016</v>
      </c>
      <c r="AR173" s="52" t="s">
        <v>1334</v>
      </c>
    </row>
    <row r="174" spans="1:44" ht="12" customHeight="1" thickBot="1">
      <c r="A174" s="4"/>
      <c r="B174" s="4"/>
      <c r="C174" s="4"/>
      <c r="D174" s="4"/>
      <c r="E174" s="4"/>
      <c r="F174" s="4"/>
      <c r="AM174" s="52" t="s">
        <v>1019</v>
      </c>
      <c r="AN174" s="121" t="s">
        <v>1669</v>
      </c>
      <c r="AO174" s="121" t="s">
        <v>1493</v>
      </c>
      <c r="AQ174" s="52" t="s">
        <v>1017</v>
      </c>
      <c r="AR174" s="52" t="s">
        <v>1335</v>
      </c>
    </row>
    <row r="175" spans="1:44" ht="12" customHeight="1" thickBot="1">
      <c r="A175" s="4"/>
      <c r="B175" s="4"/>
      <c r="C175" s="4"/>
      <c r="D175" s="4"/>
      <c r="E175" s="4"/>
      <c r="F175" s="4"/>
      <c r="AM175" s="52" t="s">
        <v>1021</v>
      </c>
      <c r="AN175" s="121" t="s">
        <v>1670</v>
      </c>
      <c r="AO175" s="121" t="s">
        <v>1497</v>
      </c>
      <c r="AQ175" s="52" t="s">
        <v>1018</v>
      </c>
      <c r="AR175" s="52" t="s">
        <v>1019</v>
      </c>
    </row>
    <row r="176" spans="1:44" ht="12" customHeight="1" thickBot="1">
      <c r="A176" s="4"/>
      <c r="B176" s="4"/>
      <c r="C176" s="4"/>
      <c r="D176" s="4"/>
      <c r="E176" s="4"/>
      <c r="F176" s="4"/>
      <c r="AM176" s="52" t="s">
        <v>722</v>
      </c>
      <c r="AN176" s="121" t="s">
        <v>1671</v>
      </c>
      <c r="AO176" s="121" t="s">
        <v>1491</v>
      </c>
      <c r="AQ176" s="52" t="s">
        <v>1020</v>
      </c>
      <c r="AR176" s="52" t="s">
        <v>1021</v>
      </c>
    </row>
    <row r="177" spans="1:44" ht="12" customHeight="1" thickBot="1">
      <c r="A177" s="4"/>
      <c r="B177" s="4"/>
      <c r="C177" s="4"/>
      <c r="D177" s="4"/>
      <c r="E177" s="4"/>
      <c r="F177" s="4"/>
      <c r="AM177" s="52" t="s">
        <v>1336</v>
      </c>
      <c r="AN177" s="121" t="s">
        <v>1672</v>
      </c>
      <c r="AO177" s="121" t="s">
        <v>1495</v>
      </c>
      <c r="AQ177" s="52" t="s">
        <v>1022</v>
      </c>
      <c r="AR177" s="52" t="s">
        <v>722</v>
      </c>
    </row>
    <row r="178" spans="1:44" ht="12" customHeight="1" thickBot="1">
      <c r="A178" s="4"/>
      <c r="B178" s="4"/>
      <c r="C178" s="4"/>
      <c r="D178" s="4"/>
      <c r="E178" s="4"/>
      <c r="F178" s="4"/>
      <c r="AM178" s="52" t="s">
        <v>1025</v>
      </c>
      <c r="AN178" s="121" t="s">
        <v>1673</v>
      </c>
      <c r="AO178" s="121" t="s">
        <v>1261</v>
      </c>
      <c r="AQ178" s="52" t="s">
        <v>1023</v>
      </c>
      <c r="AR178" s="52" t="s">
        <v>1336</v>
      </c>
    </row>
    <row r="179" spans="1:44" ht="12" customHeight="1" thickBot="1">
      <c r="A179" s="4"/>
      <c r="B179" s="4"/>
      <c r="C179" s="4"/>
      <c r="D179" s="4"/>
      <c r="E179" s="4"/>
      <c r="F179" s="4"/>
      <c r="AM179" s="52" t="s">
        <v>1030</v>
      </c>
      <c r="AN179" s="121" t="s">
        <v>1674</v>
      </c>
      <c r="AO179" s="121" t="s">
        <v>1779</v>
      </c>
      <c r="AQ179" s="52" t="s">
        <v>1024</v>
      </c>
      <c r="AR179" s="52" t="s">
        <v>1025</v>
      </c>
    </row>
    <row r="180" spans="1:44" ht="12" customHeight="1" thickBot="1">
      <c r="A180" s="4"/>
      <c r="B180" s="4"/>
      <c r="C180" s="4"/>
      <c r="D180" s="4"/>
      <c r="E180" s="4"/>
      <c r="F180" s="4"/>
      <c r="AM180" s="52" t="s">
        <v>1032</v>
      </c>
      <c r="AN180" s="121" t="s">
        <v>1675</v>
      </c>
      <c r="AO180" s="121" t="s">
        <v>1780</v>
      </c>
      <c r="AQ180" s="52" t="s">
        <v>1029</v>
      </c>
      <c r="AR180" s="52" t="s">
        <v>1030</v>
      </c>
    </row>
    <row r="181" spans="1:44" ht="12" customHeight="1" thickBot="1">
      <c r="A181" s="4"/>
      <c r="B181" s="4"/>
      <c r="C181" s="4"/>
      <c r="D181" s="4"/>
      <c r="E181" s="4"/>
      <c r="F181" s="4"/>
      <c r="AM181" s="52" t="s">
        <v>1337</v>
      </c>
      <c r="AN181" s="121" t="s">
        <v>1676</v>
      </c>
      <c r="AO181" s="121" t="s">
        <v>1499</v>
      </c>
      <c r="AQ181" s="52" t="s">
        <v>1031</v>
      </c>
      <c r="AR181" s="52" t="s">
        <v>1032</v>
      </c>
    </row>
    <row r="182" spans="1:44" ht="12" customHeight="1" thickBot="1">
      <c r="A182" s="4"/>
      <c r="B182" s="4"/>
      <c r="C182" s="4"/>
      <c r="D182" s="4"/>
      <c r="E182" s="4"/>
      <c r="F182" s="4"/>
      <c r="AM182" s="52" t="s">
        <v>1035</v>
      </c>
      <c r="AN182" s="121" t="s">
        <v>1677</v>
      </c>
      <c r="AO182" s="121" t="s">
        <v>1510</v>
      </c>
      <c r="AQ182" s="52" t="s">
        <v>1033</v>
      </c>
      <c r="AR182" s="52" t="s">
        <v>1337</v>
      </c>
    </row>
    <row r="183" spans="1:44" ht="12" customHeight="1" thickBot="1">
      <c r="A183" s="4"/>
      <c r="B183" s="4"/>
      <c r="C183" s="4"/>
      <c r="D183" s="4"/>
      <c r="E183" s="4"/>
      <c r="F183" s="4"/>
      <c r="AM183" s="52" t="s">
        <v>1338</v>
      </c>
      <c r="AN183" s="121" t="s">
        <v>1678</v>
      </c>
      <c r="AO183" s="121" t="s">
        <v>1511</v>
      </c>
      <c r="AQ183" s="52" t="s">
        <v>1034</v>
      </c>
      <c r="AR183" s="52" t="s">
        <v>1035</v>
      </c>
    </row>
    <row r="184" spans="1:44" ht="12" customHeight="1" thickBot="1">
      <c r="A184" s="4"/>
      <c r="B184" s="4"/>
      <c r="C184" s="4"/>
      <c r="D184" s="4"/>
      <c r="E184" s="4"/>
      <c r="F184" s="4"/>
      <c r="AM184" s="52" t="s">
        <v>1339</v>
      </c>
      <c r="AN184" s="121" t="s">
        <v>1679</v>
      </c>
      <c r="AO184" s="121" t="s">
        <v>1509</v>
      </c>
      <c r="AQ184" s="52" t="s">
        <v>1036</v>
      </c>
      <c r="AR184" s="52" t="s">
        <v>1338</v>
      </c>
    </row>
    <row r="185" spans="1:44" ht="12" customHeight="1" thickBot="1">
      <c r="A185" s="4"/>
      <c r="B185" s="4"/>
      <c r="C185" s="4"/>
      <c r="D185" s="4"/>
      <c r="E185" s="4"/>
      <c r="F185" s="4"/>
      <c r="AM185" s="52" t="s">
        <v>1039</v>
      </c>
      <c r="AN185" s="121" t="s">
        <v>1680</v>
      </c>
      <c r="AO185" s="121" t="s">
        <v>1501</v>
      </c>
      <c r="AQ185" s="52" t="s">
        <v>1037</v>
      </c>
      <c r="AR185" s="52" t="s">
        <v>1339</v>
      </c>
    </row>
    <row r="186" spans="1:44" ht="12" customHeight="1" thickBot="1">
      <c r="A186" s="4"/>
      <c r="B186" s="4"/>
      <c r="C186" s="4"/>
      <c r="D186" s="4"/>
      <c r="E186" s="4"/>
      <c r="F186" s="4"/>
      <c r="AM186" s="52" t="s">
        <v>1042</v>
      </c>
      <c r="AN186" s="121" t="s">
        <v>273</v>
      </c>
      <c r="AO186" s="121" t="s">
        <v>1507</v>
      </c>
      <c r="AQ186" s="52" t="s">
        <v>1038</v>
      </c>
      <c r="AR186" s="52" t="s">
        <v>1039</v>
      </c>
    </row>
    <row r="187" spans="1:44" ht="12" customHeight="1" thickBot="1">
      <c r="A187" s="4"/>
      <c r="B187" s="4"/>
      <c r="C187" s="4"/>
      <c r="D187" s="4"/>
      <c r="E187" s="4"/>
      <c r="F187" s="4"/>
      <c r="AM187" s="52" t="s">
        <v>1044</v>
      </c>
      <c r="AN187" s="121" t="s">
        <v>1681</v>
      </c>
      <c r="AO187" s="121" t="s">
        <v>1500</v>
      </c>
      <c r="AQ187" s="52" t="s">
        <v>1041</v>
      </c>
      <c r="AR187" s="52" t="s">
        <v>1042</v>
      </c>
    </row>
    <row r="188" spans="1:44" ht="12" customHeight="1" thickBot="1">
      <c r="A188" s="4"/>
      <c r="B188" s="4"/>
      <c r="C188" s="4"/>
      <c r="D188" s="4"/>
      <c r="E188" s="4"/>
      <c r="F188" s="4"/>
      <c r="AM188" s="52" t="s">
        <v>1046</v>
      </c>
      <c r="AN188" s="121" t="s">
        <v>1682</v>
      </c>
      <c r="AO188" s="121" t="s">
        <v>1781</v>
      </c>
      <c r="AQ188" s="52" t="s">
        <v>1043</v>
      </c>
      <c r="AR188" s="52" t="s">
        <v>1044</v>
      </c>
    </row>
    <row r="189" spans="1:44" ht="12" customHeight="1" thickBot="1">
      <c r="A189" s="4"/>
      <c r="B189" s="4"/>
      <c r="C189" s="4"/>
      <c r="D189" s="4"/>
      <c r="E189" s="4"/>
      <c r="F189" s="4"/>
      <c r="AM189" s="52" t="s">
        <v>1340</v>
      </c>
      <c r="AN189" s="121" t="s">
        <v>1683</v>
      </c>
      <c r="AO189" s="121" t="s">
        <v>1505</v>
      </c>
      <c r="AQ189" s="52" t="s">
        <v>1045</v>
      </c>
      <c r="AR189" s="52" t="s">
        <v>1046</v>
      </c>
    </row>
    <row r="190" spans="1:44" ht="12" customHeight="1" thickBot="1">
      <c r="A190" s="4"/>
      <c r="B190" s="4"/>
      <c r="C190" s="4"/>
      <c r="D190" s="4"/>
      <c r="E190" s="4"/>
      <c r="F190" s="4"/>
      <c r="AM190" s="52" t="s">
        <v>1049</v>
      </c>
      <c r="AN190" s="121" t="s">
        <v>1684</v>
      </c>
      <c r="AO190" s="121" t="s">
        <v>1508</v>
      </c>
      <c r="AQ190" s="52" t="s">
        <v>1047</v>
      </c>
      <c r="AR190" s="52" t="s">
        <v>1340</v>
      </c>
    </row>
    <row r="191" spans="1:44" ht="12" customHeight="1" thickBot="1">
      <c r="A191" s="4"/>
      <c r="B191" s="4"/>
      <c r="C191" s="4"/>
      <c r="D191" s="4"/>
      <c r="E191" s="4"/>
      <c r="F191" s="4"/>
      <c r="AM191" s="52" t="s">
        <v>1051</v>
      </c>
      <c r="AN191" s="121" t="s">
        <v>1685</v>
      </c>
      <c r="AO191" s="121" t="s">
        <v>1567</v>
      </c>
      <c r="AQ191" s="52" t="s">
        <v>1048</v>
      </c>
      <c r="AR191" s="52" t="s">
        <v>1049</v>
      </c>
    </row>
    <row r="192" spans="1:44" ht="12" customHeight="1" thickBot="1">
      <c r="A192" s="4"/>
      <c r="B192" s="4"/>
      <c r="C192" s="4"/>
      <c r="D192" s="4"/>
      <c r="E192" s="4"/>
      <c r="F192" s="4"/>
      <c r="AM192" s="52" t="s">
        <v>1053</v>
      </c>
      <c r="AN192" s="121" t="s">
        <v>275</v>
      </c>
      <c r="AO192" s="121" t="s">
        <v>1268</v>
      </c>
      <c r="AQ192" s="52" t="s">
        <v>1050</v>
      </c>
      <c r="AR192" s="52" t="s">
        <v>1051</v>
      </c>
    </row>
    <row r="193" spans="1:44" ht="12" customHeight="1" thickBot="1">
      <c r="A193" s="4"/>
      <c r="B193" s="4"/>
      <c r="C193" s="4"/>
      <c r="D193" s="4"/>
      <c r="E193" s="4"/>
      <c r="F193" s="4"/>
      <c r="AM193" s="52" t="s">
        <v>1341</v>
      </c>
      <c r="AN193" s="121" t="s">
        <v>1686</v>
      </c>
      <c r="AO193" s="121" t="s">
        <v>1782</v>
      </c>
      <c r="AQ193" s="52" t="s">
        <v>1052</v>
      </c>
      <c r="AR193" s="52" t="s">
        <v>1053</v>
      </c>
    </row>
    <row r="194" spans="1:44" ht="12" customHeight="1" thickBot="1">
      <c r="A194" s="4"/>
      <c r="B194" s="4"/>
      <c r="C194" s="4"/>
      <c r="D194" s="4"/>
      <c r="E194" s="4"/>
      <c r="F194" s="4"/>
      <c r="AM194" s="52" t="s">
        <v>1056</v>
      </c>
      <c r="AN194" s="121" t="s">
        <v>1687</v>
      </c>
      <c r="AO194" s="121" t="s">
        <v>1783</v>
      </c>
      <c r="AQ194" s="52" t="s">
        <v>1054</v>
      </c>
      <c r="AR194" s="52" t="s">
        <v>1341</v>
      </c>
    </row>
    <row r="195" spans="1:44" ht="12" customHeight="1" thickBot="1">
      <c r="A195" s="4"/>
      <c r="B195" s="4"/>
      <c r="C195" s="4"/>
      <c r="D195" s="4"/>
      <c r="E195" s="4"/>
      <c r="F195" s="4"/>
      <c r="AM195" s="52" t="s">
        <v>1342</v>
      </c>
      <c r="AN195" s="121" t="s">
        <v>269</v>
      </c>
      <c r="AO195" s="121" t="s">
        <v>1262</v>
      </c>
      <c r="AQ195" s="52" t="s">
        <v>1055</v>
      </c>
      <c r="AR195" s="52" t="s">
        <v>1056</v>
      </c>
    </row>
    <row r="196" spans="1:44" ht="12" customHeight="1" thickBot="1">
      <c r="A196" s="4"/>
      <c r="B196" s="4"/>
      <c r="C196" s="4"/>
      <c r="D196" s="4"/>
      <c r="E196" s="4"/>
      <c r="F196" s="4"/>
      <c r="AM196" s="52" t="s">
        <v>1059</v>
      </c>
      <c r="AN196" s="121" t="s">
        <v>1688</v>
      </c>
      <c r="AO196" s="121" t="s">
        <v>1503</v>
      </c>
      <c r="AQ196" s="52" t="s">
        <v>1057</v>
      </c>
      <c r="AR196" s="52" t="s">
        <v>1342</v>
      </c>
    </row>
    <row r="197" spans="1:44" ht="12" customHeight="1" thickBot="1">
      <c r="A197" s="4"/>
      <c r="B197" s="4"/>
      <c r="C197" s="4"/>
      <c r="D197" s="4"/>
      <c r="E197" s="4"/>
      <c r="F197" s="4"/>
      <c r="AM197" s="52" t="s">
        <v>1061</v>
      </c>
      <c r="AN197" s="121" t="s">
        <v>1689</v>
      </c>
      <c r="AO197" s="121" t="s">
        <v>1784</v>
      </c>
      <c r="AQ197" s="52" t="s">
        <v>1058</v>
      </c>
      <c r="AR197" s="52" t="s">
        <v>1059</v>
      </c>
    </row>
    <row r="198" spans="1:44" ht="12" customHeight="1" thickBot="1">
      <c r="A198" s="4"/>
      <c r="B198" s="4"/>
      <c r="C198" s="4"/>
      <c r="D198" s="4"/>
      <c r="E198" s="4"/>
      <c r="F198" s="4"/>
      <c r="AM198" s="52" t="s">
        <v>1343</v>
      </c>
      <c r="AN198" s="121" t="s">
        <v>271</v>
      </c>
      <c r="AO198" s="121" t="s">
        <v>1506</v>
      </c>
      <c r="AQ198" s="52" t="s">
        <v>1060</v>
      </c>
      <c r="AR198" s="52" t="s">
        <v>1061</v>
      </c>
    </row>
    <row r="199" spans="1:44" ht="12" customHeight="1" thickBot="1">
      <c r="A199" s="4"/>
      <c r="B199" s="4"/>
      <c r="C199" s="4"/>
      <c r="D199" s="4"/>
      <c r="E199" s="4"/>
      <c r="F199" s="4"/>
      <c r="AM199" s="52" t="s">
        <v>1064</v>
      </c>
      <c r="AN199" s="121" t="s">
        <v>1690</v>
      </c>
      <c r="AO199" s="121" t="s">
        <v>1498</v>
      </c>
      <c r="AQ199" s="52" t="s">
        <v>1062</v>
      </c>
      <c r="AR199" s="52" t="s">
        <v>1343</v>
      </c>
    </row>
    <row r="200" spans="1:44" ht="12" customHeight="1" thickBot="1">
      <c r="A200" s="4"/>
      <c r="B200" s="4"/>
      <c r="C200" s="4"/>
      <c r="D200" s="4"/>
      <c r="E200" s="4"/>
      <c r="F200" s="4"/>
      <c r="AM200" s="52" t="s">
        <v>1344</v>
      </c>
      <c r="AN200" s="121" t="s">
        <v>1691</v>
      </c>
      <c r="AO200" s="121" t="s">
        <v>1512</v>
      </c>
      <c r="AQ200" s="52" t="s">
        <v>1063</v>
      </c>
      <c r="AR200" s="52" t="s">
        <v>1064</v>
      </c>
    </row>
    <row r="201" spans="1:44" ht="12" customHeight="1" thickBot="1">
      <c r="A201" s="4"/>
      <c r="B201" s="4"/>
      <c r="C201" s="4"/>
      <c r="D201" s="4"/>
      <c r="E201" s="4"/>
      <c r="F201" s="4"/>
      <c r="AM201" s="52" t="s">
        <v>1067</v>
      </c>
      <c r="AN201" s="121" t="s">
        <v>1692</v>
      </c>
      <c r="AO201" s="121" t="s">
        <v>1502</v>
      </c>
      <c r="AQ201" s="52" t="s">
        <v>1065</v>
      </c>
      <c r="AR201" s="52" t="s">
        <v>1344</v>
      </c>
    </row>
    <row r="202" spans="1:44" ht="12" customHeight="1" thickBot="1">
      <c r="A202" s="4"/>
      <c r="B202" s="4"/>
      <c r="C202" s="4"/>
      <c r="D202" s="4"/>
      <c r="E202" s="4"/>
      <c r="F202" s="4"/>
      <c r="AM202" s="52" t="s">
        <v>1069</v>
      </c>
      <c r="AN202" s="121" t="s">
        <v>1693</v>
      </c>
      <c r="AO202" s="121" t="s">
        <v>1513</v>
      </c>
      <c r="AQ202" s="52" t="s">
        <v>1066</v>
      </c>
      <c r="AR202" s="52" t="s">
        <v>1067</v>
      </c>
    </row>
    <row r="203" spans="1:44" ht="12" customHeight="1" thickBot="1">
      <c r="A203" s="4"/>
      <c r="B203" s="4"/>
      <c r="C203" s="4"/>
      <c r="D203" s="4"/>
      <c r="E203" s="4"/>
      <c r="F203" s="4"/>
      <c r="AM203" s="52" t="s">
        <v>1071</v>
      </c>
      <c r="AN203" s="121" t="s">
        <v>1694</v>
      </c>
      <c r="AO203" s="121" t="s">
        <v>1521</v>
      </c>
      <c r="AQ203" s="52" t="s">
        <v>1068</v>
      </c>
      <c r="AR203" s="52" t="s">
        <v>1069</v>
      </c>
    </row>
    <row r="204" spans="1:44" ht="12" customHeight="1" thickBot="1">
      <c r="A204" s="4"/>
      <c r="B204" s="4"/>
      <c r="C204" s="4"/>
      <c r="D204" s="4"/>
      <c r="E204" s="4"/>
      <c r="F204" s="4"/>
      <c r="AM204" s="52" t="s">
        <v>1073</v>
      </c>
      <c r="AN204" s="121" t="s">
        <v>1695</v>
      </c>
      <c r="AO204" s="121" t="s">
        <v>1520</v>
      </c>
      <c r="AQ204" s="52" t="s">
        <v>1070</v>
      </c>
      <c r="AR204" s="52" t="s">
        <v>1071</v>
      </c>
    </row>
    <row r="205" spans="1:44" ht="12" customHeight="1" thickBot="1">
      <c r="A205" s="4"/>
      <c r="B205" s="4"/>
      <c r="C205" s="4"/>
      <c r="D205" s="4"/>
      <c r="E205" s="4"/>
      <c r="F205" s="4"/>
      <c r="AM205" s="52" t="s">
        <v>1075</v>
      </c>
      <c r="AN205" s="121" t="s">
        <v>1696</v>
      </c>
      <c r="AO205" s="121" t="s">
        <v>1518</v>
      </c>
      <c r="AQ205" s="52" t="s">
        <v>1072</v>
      </c>
      <c r="AR205" s="52" t="s">
        <v>1073</v>
      </c>
    </row>
    <row r="206" spans="1:44" ht="12" customHeight="1" thickBot="1">
      <c r="A206" s="4"/>
      <c r="B206" s="4"/>
      <c r="C206" s="4"/>
      <c r="D206" s="4"/>
      <c r="E206" s="4"/>
      <c r="F206" s="4"/>
      <c r="AM206" s="52" t="s">
        <v>1898</v>
      </c>
      <c r="AN206" s="121" t="s">
        <v>1697</v>
      </c>
      <c r="AO206" s="121" t="s">
        <v>1785</v>
      </c>
      <c r="AQ206" s="52" t="s">
        <v>1074</v>
      </c>
      <c r="AR206" s="52" t="s">
        <v>1075</v>
      </c>
    </row>
    <row r="207" spans="1:44" ht="12" customHeight="1" thickBot="1">
      <c r="A207" s="4"/>
      <c r="B207" s="4"/>
      <c r="C207" s="4"/>
      <c r="D207" s="4"/>
      <c r="E207" s="4"/>
      <c r="F207" s="4"/>
      <c r="AM207" s="52" t="s">
        <v>1078</v>
      </c>
      <c r="AN207" s="121" t="s">
        <v>1698</v>
      </c>
      <c r="AO207" s="121" t="s">
        <v>1523</v>
      </c>
      <c r="AQ207" s="52" t="s">
        <v>1076</v>
      </c>
      <c r="AR207" s="52" t="s">
        <v>1898</v>
      </c>
    </row>
    <row r="208" spans="1:44" ht="12" customHeight="1" thickBot="1">
      <c r="A208" s="4"/>
      <c r="B208" s="4"/>
      <c r="C208" s="4"/>
      <c r="D208" s="4"/>
      <c r="E208" s="4"/>
      <c r="F208" s="4"/>
      <c r="AM208" s="52" t="s">
        <v>1080</v>
      </c>
      <c r="AN208" s="121" t="s">
        <v>1699</v>
      </c>
      <c r="AO208" s="121" t="s">
        <v>1517</v>
      </c>
      <c r="AQ208" s="52" t="s">
        <v>1077</v>
      </c>
      <c r="AR208" s="52" t="s">
        <v>1078</v>
      </c>
    </row>
    <row r="209" spans="1:44" ht="12" customHeight="1" thickBot="1">
      <c r="A209" s="4"/>
      <c r="B209" s="4"/>
      <c r="C209" s="4"/>
      <c r="D209" s="4"/>
      <c r="E209" s="4"/>
      <c r="F209" s="4"/>
      <c r="AM209" s="52" t="s">
        <v>1345</v>
      </c>
      <c r="AN209" s="121" t="s">
        <v>277</v>
      </c>
      <c r="AO209" s="121" t="s">
        <v>1514</v>
      </c>
      <c r="AQ209" s="52" t="s">
        <v>1079</v>
      </c>
      <c r="AR209" s="52" t="s">
        <v>1080</v>
      </c>
    </row>
    <row r="210" spans="1:44" ht="12" customHeight="1" thickBot="1">
      <c r="A210" s="4"/>
      <c r="B210" s="4"/>
      <c r="C210" s="4"/>
      <c r="D210" s="4"/>
      <c r="E210" s="4"/>
      <c r="F210" s="4"/>
      <c r="AM210" s="52" t="s">
        <v>1083</v>
      </c>
      <c r="AN210" s="121" t="s">
        <v>1700</v>
      </c>
      <c r="AO210" s="121" t="s">
        <v>1516</v>
      </c>
      <c r="AQ210" s="52" t="s">
        <v>1081</v>
      </c>
      <c r="AR210" s="52" t="s">
        <v>1345</v>
      </c>
    </row>
    <row r="211" spans="1:44" ht="12" customHeight="1" thickBot="1">
      <c r="A211" s="4"/>
      <c r="B211" s="4"/>
      <c r="C211" s="4"/>
      <c r="D211" s="4"/>
      <c r="E211" s="4"/>
      <c r="F211" s="4"/>
      <c r="AM211" s="52" t="s">
        <v>1346</v>
      </c>
      <c r="AN211" s="121" t="s">
        <v>1701</v>
      </c>
      <c r="AO211" s="121" t="s">
        <v>1522</v>
      </c>
      <c r="AQ211" s="52" t="s">
        <v>1082</v>
      </c>
      <c r="AR211" s="52" t="s">
        <v>1083</v>
      </c>
    </row>
    <row r="212" spans="1:44" ht="12" customHeight="1" thickBot="1">
      <c r="A212" s="4"/>
      <c r="B212" s="4"/>
      <c r="C212" s="4"/>
      <c r="D212" s="4"/>
      <c r="E212" s="4"/>
      <c r="F212" s="4"/>
      <c r="AM212" s="52" t="s">
        <v>1086</v>
      </c>
      <c r="AN212" s="121" t="s">
        <v>1702</v>
      </c>
      <c r="AO212" s="121" t="s">
        <v>1515</v>
      </c>
      <c r="AQ212" s="52" t="s">
        <v>1084</v>
      </c>
      <c r="AR212" s="52" t="s">
        <v>1346</v>
      </c>
    </row>
    <row r="213" spans="1:44" ht="12" customHeight="1" thickBot="1">
      <c r="A213" s="4"/>
      <c r="B213" s="4"/>
      <c r="C213" s="4"/>
      <c r="D213" s="4"/>
      <c r="E213" s="4"/>
      <c r="F213" s="4"/>
      <c r="AM213" s="52" t="s">
        <v>1347</v>
      </c>
      <c r="AN213" s="121" t="s">
        <v>1703</v>
      </c>
      <c r="AO213" s="121" t="s">
        <v>1504</v>
      </c>
      <c r="AQ213" s="52" t="s">
        <v>1085</v>
      </c>
      <c r="AR213" s="52" t="s">
        <v>1086</v>
      </c>
    </row>
    <row r="214" spans="1:44" ht="12" customHeight="1" thickBot="1">
      <c r="A214" s="4"/>
      <c r="B214" s="4"/>
      <c r="C214" s="4"/>
      <c r="D214" s="4"/>
      <c r="E214" s="4"/>
      <c r="F214" s="4"/>
      <c r="AM214" s="52" t="s">
        <v>1090</v>
      </c>
      <c r="AN214" s="121" t="s">
        <v>1704</v>
      </c>
      <c r="AO214" s="121" t="s">
        <v>1519</v>
      </c>
      <c r="AQ214" s="52" t="s">
        <v>1087</v>
      </c>
      <c r="AR214" s="52" t="s">
        <v>1347</v>
      </c>
    </row>
    <row r="215" spans="1:44" ht="12" customHeight="1" thickBot="1">
      <c r="A215" s="4"/>
      <c r="B215" s="4"/>
      <c r="C215" s="4"/>
      <c r="D215" s="4"/>
      <c r="E215" s="4"/>
      <c r="F215" s="4"/>
      <c r="AM215" s="52" t="s">
        <v>1092</v>
      </c>
      <c r="AN215" s="121" t="s">
        <v>1705</v>
      </c>
      <c r="AO215" s="121" t="s">
        <v>1524</v>
      </c>
      <c r="AQ215" s="52" t="s">
        <v>1089</v>
      </c>
      <c r="AR215" s="52" t="s">
        <v>1090</v>
      </c>
    </row>
    <row r="216" spans="1:44" ht="12" customHeight="1" thickBot="1">
      <c r="A216" s="4"/>
      <c r="B216" s="4"/>
      <c r="C216" s="4"/>
      <c r="D216" s="4"/>
      <c r="E216" s="4"/>
      <c r="F216" s="4"/>
      <c r="AM216" s="52" t="s">
        <v>1094</v>
      </c>
      <c r="AN216" s="121" t="s">
        <v>293</v>
      </c>
      <c r="AO216" s="121" t="s">
        <v>1528</v>
      </c>
      <c r="AQ216" s="52" t="s">
        <v>1091</v>
      </c>
      <c r="AR216" s="52" t="s">
        <v>1092</v>
      </c>
    </row>
    <row r="217" spans="1:44" ht="12" customHeight="1" thickBot="1">
      <c r="A217" s="4"/>
      <c r="B217" s="4"/>
      <c r="C217" s="4"/>
      <c r="D217" s="4"/>
      <c r="E217" s="4"/>
      <c r="F217" s="4"/>
      <c r="AM217" s="52" t="s">
        <v>1096</v>
      </c>
      <c r="AN217" s="121" t="s">
        <v>1706</v>
      </c>
      <c r="AO217" s="121" t="s">
        <v>1258</v>
      </c>
      <c r="AQ217" s="52" t="s">
        <v>1093</v>
      </c>
      <c r="AR217" s="52" t="s">
        <v>1094</v>
      </c>
    </row>
    <row r="218" spans="1:44" ht="12" customHeight="1" thickBot="1">
      <c r="A218" s="4"/>
      <c r="B218" s="4"/>
      <c r="C218" s="4"/>
      <c r="D218" s="4"/>
      <c r="E218" s="4"/>
      <c r="F218" s="4"/>
      <c r="AM218" s="52" t="s">
        <v>1348</v>
      </c>
      <c r="AN218" s="121" t="s">
        <v>1707</v>
      </c>
      <c r="AO218" s="121" t="s">
        <v>1786</v>
      </c>
      <c r="AQ218" s="52" t="s">
        <v>1095</v>
      </c>
      <c r="AR218" s="52" t="s">
        <v>1096</v>
      </c>
    </row>
    <row r="219" spans="1:44" ht="12" customHeight="1" thickBot="1">
      <c r="A219" s="4"/>
      <c r="B219" s="4"/>
      <c r="C219" s="4"/>
      <c r="D219" s="4"/>
      <c r="E219" s="4"/>
      <c r="F219" s="4"/>
      <c r="AM219" s="52" t="s">
        <v>715</v>
      </c>
      <c r="AN219" s="121" t="s">
        <v>283</v>
      </c>
      <c r="AO219" s="121" t="s">
        <v>1525</v>
      </c>
      <c r="AQ219" s="52" t="s">
        <v>1097</v>
      </c>
      <c r="AR219" s="52" t="s">
        <v>1348</v>
      </c>
    </row>
    <row r="220" spans="1:44" ht="12" customHeight="1" thickBot="1">
      <c r="A220" s="4"/>
      <c r="B220" s="4"/>
      <c r="C220" s="4"/>
      <c r="D220" s="4"/>
      <c r="E220" s="4"/>
      <c r="F220" s="4"/>
      <c r="AM220" s="52" t="s">
        <v>1349</v>
      </c>
      <c r="AN220" s="121" t="s">
        <v>287</v>
      </c>
      <c r="AO220" s="121" t="s">
        <v>1527</v>
      </c>
      <c r="AQ220" s="52" t="s">
        <v>1098</v>
      </c>
      <c r="AR220" s="52" t="s">
        <v>715</v>
      </c>
    </row>
    <row r="221" spans="1:44" ht="12" customHeight="1" thickBot="1">
      <c r="A221" s="4"/>
      <c r="B221" s="4"/>
      <c r="C221" s="4"/>
      <c r="D221" s="4"/>
      <c r="E221" s="4"/>
      <c r="F221" s="4"/>
      <c r="AM221" s="52" t="s">
        <v>1101</v>
      </c>
      <c r="AN221" s="121" t="s">
        <v>306</v>
      </c>
      <c r="AO221" s="121" t="s">
        <v>1531</v>
      </c>
      <c r="AQ221" s="52" t="s">
        <v>1099</v>
      </c>
      <c r="AR221" s="52" t="s">
        <v>1349</v>
      </c>
    </row>
    <row r="222" spans="1:44" ht="12" customHeight="1" thickBot="1">
      <c r="A222" s="4"/>
      <c r="B222" s="4"/>
      <c r="C222" s="4"/>
      <c r="D222" s="4"/>
      <c r="E222" s="4"/>
      <c r="F222" s="4"/>
      <c r="AM222" s="52" t="s">
        <v>1103</v>
      </c>
      <c r="AN222" s="121" t="s">
        <v>1708</v>
      </c>
      <c r="AO222" s="121" t="s">
        <v>1526</v>
      </c>
      <c r="AQ222" s="52" t="s">
        <v>1100</v>
      </c>
      <c r="AR222" s="52" t="s">
        <v>1101</v>
      </c>
    </row>
    <row r="223" spans="1:44" ht="12" customHeight="1" thickBot="1">
      <c r="A223" s="4"/>
      <c r="B223" s="4"/>
      <c r="C223" s="4"/>
      <c r="D223" s="4"/>
      <c r="E223" s="4"/>
      <c r="F223" s="4"/>
      <c r="AM223" s="52" t="s">
        <v>1105</v>
      </c>
      <c r="AN223" s="121" t="s">
        <v>289</v>
      </c>
      <c r="AO223" s="121" t="s">
        <v>1263</v>
      </c>
      <c r="AQ223" s="52" t="s">
        <v>1102</v>
      </c>
      <c r="AR223" s="52" t="s">
        <v>1103</v>
      </c>
    </row>
    <row r="224" spans="1:44" ht="12" customHeight="1" thickBot="1">
      <c r="A224" s="4"/>
      <c r="B224" s="4"/>
      <c r="C224" s="4"/>
      <c r="D224" s="4"/>
      <c r="E224" s="4"/>
      <c r="F224" s="4"/>
      <c r="AM224" s="52" t="s">
        <v>716</v>
      </c>
      <c r="AN224" s="121" t="s">
        <v>297</v>
      </c>
      <c r="AO224" s="121" t="s">
        <v>1787</v>
      </c>
      <c r="AQ224" s="52" t="s">
        <v>1104</v>
      </c>
      <c r="AR224" s="52" t="s">
        <v>1105</v>
      </c>
    </row>
    <row r="225" spans="1:44" ht="12" customHeight="1" thickBot="1">
      <c r="A225" s="4"/>
      <c r="B225" s="4"/>
      <c r="C225" s="4"/>
      <c r="D225" s="4"/>
      <c r="E225" s="4"/>
      <c r="F225" s="4"/>
      <c r="AM225" s="52" t="s">
        <v>1108</v>
      </c>
      <c r="AN225" s="121" t="s">
        <v>295</v>
      </c>
      <c r="AO225" s="121" t="s">
        <v>1269</v>
      </c>
      <c r="AQ225" s="52" t="s">
        <v>1106</v>
      </c>
      <c r="AR225" s="52" t="s">
        <v>716</v>
      </c>
    </row>
    <row r="226" spans="1:44" ht="12" customHeight="1" thickBot="1">
      <c r="A226" s="4"/>
      <c r="B226" s="4"/>
      <c r="C226" s="4"/>
      <c r="D226" s="4"/>
      <c r="E226" s="4"/>
      <c r="F226" s="4"/>
      <c r="AM226" s="52" t="s">
        <v>1350</v>
      </c>
      <c r="AN226" s="121" t="s">
        <v>301</v>
      </c>
      <c r="AO226" s="121" t="s">
        <v>1530</v>
      </c>
      <c r="AQ226" s="52" t="s">
        <v>1107</v>
      </c>
      <c r="AR226" s="52" t="s">
        <v>1108</v>
      </c>
    </row>
    <row r="227" spans="1:44" ht="12" customHeight="1" thickBot="1">
      <c r="A227" s="4"/>
      <c r="B227" s="4"/>
      <c r="C227" s="4"/>
      <c r="D227" s="4"/>
      <c r="E227" s="4"/>
      <c r="F227" s="4"/>
      <c r="AM227" s="52" t="s">
        <v>1111</v>
      </c>
      <c r="AN227" s="121" t="s">
        <v>1709</v>
      </c>
      <c r="AO227" s="121" t="s">
        <v>720</v>
      </c>
      <c r="AQ227" s="52" t="s">
        <v>1109</v>
      </c>
      <c r="AR227" s="52" t="s">
        <v>1350</v>
      </c>
    </row>
    <row r="228" spans="1:44" ht="12" customHeight="1" thickBot="1">
      <c r="A228" s="4"/>
      <c r="B228" s="4"/>
      <c r="C228" s="4"/>
      <c r="D228" s="4"/>
      <c r="E228" s="4"/>
      <c r="F228" s="4"/>
      <c r="AM228" s="52" t="s">
        <v>1113</v>
      </c>
      <c r="AN228" s="121" t="s">
        <v>1710</v>
      </c>
      <c r="AO228" s="121" t="s">
        <v>1532</v>
      </c>
      <c r="AQ228" s="52" t="s">
        <v>1110</v>
      </c>
      <c r="AR228" s="52" t="s">
        <v>1111</v>
      </c>
    </row>
    <row r="229" spans="1:44" ht="12" customHeight="1" thickBot="1">
      <c r="A229" s="4"/>
      <c r="B229" s="4"/>
      <c r="C229" s="4"/>
      <c r="D229" s="4"/>
      <c r="E229" s="4"/>
      <c r="F229" s="4"/>
      <c r="AM229" s="52" t="s">
        <v>1115</v>
      </c>
      <c r="AN229" s="121" t="s">
        <v>1711</v>
      </c>
      <c r="AO229" s="121" t="s">
        <v>1264</v>
      </c>
      <c r="AQ229" s="52" t="s">
        <v>1112</v>
      </c>
      <c r="AR229" s="52" t="s">
        <v>1113</v>
      </c>
    </row>
    <row r="230" spans="1:44" ht="12" customHeight="1" thickBot="1">
      <c r="A230" s="4"/>
      <c r="B230" s="4"/>
      <c r="C230" s="4"/>
      <c r="D230" s="4"/>
      <c r="E230" s="4"/>
      <c r="F230" s="4"/>
      <c r="AM230" s="52" t="s">
        <v>1117</v>
      </c>
      <c r="AN230" s="121" t="s">
        <v>317</v>
      </c>
      <c r="AO230" s="121" t="s">
        <v>1533</v>
      </c>
      <c r="AQ230" s="52" t="s">
        <v>1114</v>
      </c>
      <c r="AR230" s="52" t="s">
        <v>1115</v>
      </c>
    </row>
    <row r="231" spans="1:44" ht="12" customHeight="1" thickBot="1">
      <c r="A231" s="4"/>
      <c r="B231" s="4"/>
      <c r="C231" s="4"/>
      <c r="D231" s="4"/>
      <c r="E231" s="4"/>
      <c r="F231" s="4"/>
      <c r="AM231" s="52" t="s">
        <v>1351</v>
      </c>
      <c r="AN231" s="121" t="s">
        <v>1712</v>
      </c>
      <c r="AO231" s="121" t="s">
        <v>1534</v>
      </c>
      <c r="AQ231" s="52" t="s">
        <v>1116</v>
      </c>
      <c r="AR231" s="52" t="s">
        <v>1117</v>
      </c>
    </row>
    <row r="232" spans="1:44" ht="12" customHeight="1" thickBot="1">
      <c r="A232" s="4"/>
      <c r="B232" s="4"/>
      <c r="C232" s="4"/>
      <c r="D232" s="4"/>
      <c r="E232" s="4"/>
      <c r="F232" s="4"/>
      <c r="AM232" s="52" t="s">
        <v>1352</v>
      </c>
      <c r="AN232" s="121" t="s">
        <v>1713</v>
      </c>
      <c r="AO232" s="121" t="s">
        <v>1535</v>
      </c>
      <c r="AQ232" s="52" t="s">
        <v>1118</v>
      </c>
      <c r="AR232" s="52" t="s">
        <v>1351</v>
      </c>
    </row>
    <row r="233" spans="1:44" ht="12" customHeight="1" thickBot="1">
      <c r="A233" s="4"/>
      <c r="B233" s="4"/>
      <c r="C233" s="4"/>
      <c r="D233" s="4"/>
      <c r="E233" s="4"/>
      <c r="F233" s="4"/>
      <c r="AM233" s="52" t="s">
        <v>1121</v>
      </c>
      <c r="AN233" s="121" t="s">
        <v>148</v>
      </c>
      <c r="AO233" s="121" t="s">
        <v>1788</v>
      </c>
      <c r="AQ233" s="52" t="s">
        <v>1119</v>
      </c>
      <c r="AR233" s="52" t="s">
        <v>1352</v>
      </c>
    </row>
    <row r="234" spans="1:44" ht="12" customHeight="1" thickBot="1">
      <c r="A234" s="4"/>
      <c r="B234" s="4"/>
      <c r="C234" s="4"/>
      <c r="D234" s="4"/>
      <c r="E234" s="4"/>
      <c r="F234" s="4"/>
      <c r="AM234" s="52" t="s">
        <v>1123</v>
      </c>
      <c r="AN234" s="121" t="s">
        <v>331</v>
      </c>
      <c r="AO234" s="121" t="s">
        <v>1789</v>
      </c>
      <c r="AQ234" s="52" t="s">
        <v>1120</v>
      </c>
      <c r="AR234" s="52" t="s">
        <v>1121</v>
      </c>
    </row>
    <row r="235" spans="1:44" ht="12" customHeight="1" thickBot="1">
      <c r="A235" s="4"/>
      <c r="B235" s="4"/>
      <c r="C235" s="4"/>
      <c r="D235" s="4"/>
      <c r="E235" s="4"/>
      <c r="F235" s="4"/>
      <c r="AM235" s="52" t="s">
        <v>1126</v>
      </c>
      <c r="AN235" s="121" t="s">
        <v>1714</v>
      </c>
      <c r="AO235" s="121" t="s">
        <v>1790</v>
      </c>
      <c r="AQ235" s="52" t="s">
        <v>1122</v>
      </c>
      <c r="AR235" s="52" t="s">
        <v>1123</v>
      </c>
    </row>
    <row r="236" spans="1:44" ht="12" customHeight="1" thickBot="1">
      <c r="A236" s="4"/>
      <c r="B236" s="4"/>
      <c r="C236" s="4"/>
      <c r="D236" s="4"/>
      <c r="E236" s="4"/>
      <c r="F236" s="4"/>
      <c r="AM236" s="52" t="s">
        <v>717</v>
      </c>
      <c r="AN236" s="121" t="s">
        <v>1715</v>
      </c>
      <c r="AO236" s="121" t="s">
        <v>1490</v>
      </c>
      <c r="AQ236" s="52" t="s">
        <v>1125</v>
      </c>
      <c r="AR236" s="52" t="s">
        <v>1126</v>
      </c>
    </row>
    <row r="237" spans="1:44" ht="12" customHeight="1" thickBot="1">
      <c r="A237" s="4"/>
      <c r="B237" s="4"/>
      <c r="C237" s="4"/>
      <c r="D237" s="4"/>
      <c r="E237" s="4"/>
      <c r="F237" s="4"/>
      <c r="AM237" s="52" t="s">
        <v>1353</v>
      </c>
      <c r="AN237" s="121" t="s">
        <v>1716</v>
      </c>
      <c r="AO237" s="121" t="s">
        <v>1791</v>
      </c>
      <c r="AQ237" s="52" t="s">
        <v>1127</v>
      </c>
      <c r="AR237" s="52" t="s">
        <v>717</v>
      </c>
    </row>
    <row r="238" spans="1:44" ht="12" customHeight="1" thickBot="1">
      <c r="A238" s="4"/>
      <c r="B238" s="4"/>
      <c r="C238" s="4"/>
      <c r="D238" s="4"/>
      <c r="E238" s="4"/>
      <c r="F238" s="4"/>
      <c r="AM238" s="52" t="s">
        <v>1130</v>
      </c>
      <c r="AN238" s="121" t="s">
        <v>1717</v>
      </c>
      <c r="AO238" s="121" t="s">
        <v>1529</v>
      </c>
      <c r="AQ238" s="52" t="s">
        <v>1128</v>
      </c>
      <c r="AR238" s="52" t="s">
        <v>1353</v>
      </c>
    </row>
    <row r="239" spans="1:44" ht="12" customHeight="1" thickBot="1">
      <c r="A239" s="4"/>
      <c r="B239" s="4"/>
      <c r="C239" s="4"/>
      <c r="D239" s="4"/>
      <c r="E239" s="4"/>
      <c r="F239" s="4"/>
      <c r="AM239" s="52" t="s">
        <v>729</v>
      </c>
      <c r="AN239" s="121" t="s">
        <v>1718</v>
      </c>
      <c r="AO239" s="121" t="s">
        <v>1792</v>
      </c>
      <c r="AQ239" s="52" t="s">
        <v>1129</v>
      </c>
      <c r="AR239" s="52" t="s">
        <v>1130</v>
      </c>
    </row>
    <row r="240" spans="1:44" ht="12" customHeight="1" thickBot="1">
      <c r="A240" s="4"/>
      <c r="B240" s="4"/>
      <c r="C240" s="4"/>
      <c r="D240" s="4"/>
      <c r="E240" s="4"/>
      <c r="F240" s="4"/>
      <c r="AM240" s="52" t="s">
        <v>1133</v>
      </c>
      <c r="AN240" s="121" t="s">
        <v>1719</v>
      </c>
      <c r="AO240" s="121" t="s">
        <v>1270</v>
      </c>
      <c r="AQ240" s="52" t="s">
        <v>1131</v>
      </c>
      <c r="AR240" s="52" t="s">
        <v>729</v>
      </c>
    </row>
    <row r="241" spans="1:44" ht="12" customHeight="1" thickBot="1">
      <c r="A241" s="4"/>
      <c r="B241" s="4"/>
      <c r="C241" s="4"/>
      <c r="D241" s="4"/>
      <c r="E241" s="4"/>
      <c r="F241" s="4"/>
      <c r="AM241" s="52" t="s">
        <v>1354</v>
      </c>
      <c r="AN241" s="121" t="s">
        <v>337</v>
      </c>
      <c r="AO241" s="121" t="s">
        <v>1543</v>
      </c>
      <c r="AQ241" s="52" t="s">
        <v>1132</v>
      </c>
      <c r="AR241" s="52" t="s">
        <v>1133</v>
      </c>
    </row>
    <row r="242" spans="1:44" ht="12" customHeight="1" thickBot="1">
      <c r="A242" s="4"/>
      <c r="B242" s="4"/>
      <c r="C242" s="4"/>
      <c r="D242" s="4"/>
      <c r="E242" s="4"/>
      <c r="F242" s="4"/>
      <c r="AM242" s="52" t="s">
        <v>1355</v>
      </c>
      <c r="AN242" s="121" t="s">
        <v>339</v>
      </c>
      <c r="AO242" s="121" t="s">
        <v>1793</v>
      </c>
      <c r="AQ242" s="52" t="s">
        <v>1134</v>
      </c>
      <c r="AR242" s="52" t="s">
        <v>1354</v>
      </c>
    </row>
    <row r="243" spans="1:44" ht="12" customHeight="1" thickBot="1">
      <c r="A243" s="4"/>
      <c r="B243" s="4"/>
      <c r="C243" s="4"/>
      <c r="D243" s="4"/>
      <c r="E243" s="4"/>
      <c r="F243" s="4"/>
      <c r="AM243" s="52" t="s">
        <v>1356</v>
      </c>
      <c r="AN243" s="121" t="s">
        <v>323</v>
      </c>
      <c r="AO243" s="121" t="s">
        <v>1536</v>
      </c>
      <c r="AQ243" s="52" t="s">
        <v>821</v>
      </c>
      <c r="AR243" s="52" t="s">
        <v>1355</v>
      </c>
    </row>
    <row r="244" spans="1:44" ht="12" customHeight="1" thickBot="1">
      <c r="A244" s="4"/>
      <c r="B244" s="4"/>
      <c r="C244" s="4"/>
      <c r="D244" s="4"/>
      <c r="E244" s="4"/>
      <c r="F244" s="4"/>
      <c r="AM244" s="52" t="s">
        <v>1136</v>
      </c>
      <c r="AN244" s="121" t="s">
        <v>1720</v>
      </c>
      <c r="AO244" s="121" t="s">
        <v>1544</v>
      </c>
      <c r="AQ244" s="52" t="s">
        <v>1584</v>
      </c>
      <c r="AR244" s="52" t="s">
        <v>1356</v>
      </c>
    </row>
    <row r="245" spans="1:44" ht="12" customHeight="1" thickBot="1">
      <c r="A245" s="4"/>
      <c r="B245" s="4"/>
      <c r="C245" s="4"/>
      <c r="D245" s="4"/>
      <c r="E245" s="4"/>
      <c r="F245" s="4"/>
      <c r="AM245" s="52" t="s">
        <v>1138</v>
      </c>
      <c r="AN245" s="121" t="s">
        <v>1721</v>
      </c>
      <c r="AO245" s="121" t="s">
        <v>1794</v>
      </c>
      <c r="AQ245" s="52" t="s">
        <v>1135</v>
      </c>
      <c r="AR245" s="52" t="s">
        <v>1136</v>
      </c>
    </row>
    <row r="246" spans="1:44" ht="12" customHeight="1" thickBot="1">
      <c r="A246" s="4"/>
      <c r="B246" s="4"/>
      <c r="C246" s="4"/>
      <c r="D246" s="4"/>
      <c r="E246" s="4"/>
      <c r="F246" s="4"/>
      <c r="AM246" s="52" t="s">
        <v>1357</v>
      </c>
      <c r="AN246" s="121" t="s">
        <v>325</v>
      </c>
      <c r="AO246" s="121" t="s">
        <v>1538</v>
      </c>
      <c r="AQ246" s="52" t="s">
        <v>1137</v>
      </c>
      <c r="AR246" s="52" t="s">
        <v>1138</v>
      </c>
    </row>
    <row r="247" spans="1:44" ht="12" customHeight="1" thickBot="1">
      <c r="A247" s="4"/>
      <c r="B247" s="4"/>
      <c r="C247" s="4"/>
      <c r="D247" s="4"/>
      <c r="E247" s="4"/>
      <c r="F247" s="4"/>
      <c r="AM247" s="52" t="s">
        <v>1358</v>
      </c>
      <c r="AN247" s="121" t="s">
        <v>335</v>
      </c>
      <c r="AO247" s="121" t="s">
        <v>1542</v>
      </c>
      <c r="AQ247" s="52" t="s">
        <v>1139</v>
      </c>
      <c r="AR247" s="52" t="s">
        <v>1357</v>
      </c>
    </row>
    <row r="248" spans="1:44" ht="12" customHeight="1" thickBot="1">
      <c r="A248" s="4"/>
      <c r="B248" s="4"/>
      <c r="C248" s="4"/>
      <c r="D248" s="4"/>
      <c r="E248" s="4"/>
      <c r="F248" s="4"/>
      <c r="AM248" s="52" t="s">
        <v>1142</v>
      </c>
      <c r="AN248" s="121" t="s">
        <v>1722</v>
      </c>
      <c r="AO248" s="121" t="s">
        <v>1265</v>
      </c>
      <c r="AQ248" s="52" t="s">
        <v>1140</v>
      </c>
      <c r="AR248" s="52" t="s">
        <v>1358</v>
      </c>
    </row>
    <row r="249" spans="1:44" ht="12" customHeight="1" thickBot="1">
      <c r="A249" s="4"/>
      <c r="B249" s="4"/>
      <c r="C249" s="4"/>
      <c r="D249" s="4"/>
      <c r="E249" s="4"/>
      <c r="F249" s="4"/>
      <c r="AM249" s="52" t="s">
        <v>1144</v>
      </c>
      <c r="AN249" s="121" t="s">
        <v>1723</v>
      </c>
      <c r="AO249" s="121" t="s">
        <v>1795</v>
      </c>
      <c r="AQ249" s="52" t="s">
        <v>1141</v>
      </c>
      <c r="AR249" s="52" t="s">
        <v>1142</v>
      </c>
    </row>
    <row r="250" spans="1:44" ht="12" customHeight="1" thickBot="1">
      <c r="A250" s="4"/>
      <c r="B250" s="4"/>
      <c r="C250" s="4"/>
      <c r="D250" s="4"/>
      <c r="E250" s="4"/>
      <c r="F250" s="4"/>
      <c r="AM250" s="52" t="s">
        <v>1359</v>
      </c>
      <c r="AN250" s="121" t="s">
        <v>333</v>
      </c>
      <c r="AO250" s="121" t="s">
        <v>1796</v>
      </c>
      <c r="AQ250" s="52" t="s">
        <v>1143</v>
      </c>
      <c r="AR250" s="52" t="s">
        <v>1144</v>
      </c>
    </row>
    <row r="251" spans="1:44" ht="12" customHeight="1" thickBot="1">
      <c r="A251" s="4"/>
      <c r="B251" s="4"/>
      <c r="C251" s="4"/>
      <c r="D251" s="4"/>
      <c r="E251" s="4"/>
      <c r="F251" s="4"/>
      <c r="AM251" s="52" t="s">
        <v>1360</v>
      </c>
      <c r="AN251" s="121" t="s">
        <v>1724</v>
      </c>
      <c r="AO251" s="121" t="s">
        <v>1541</v>
      </c>
      <c r="AQ251" s="52" t="s">
        <v>1145</v>
      </c>
      <c r="AR251" s="52" t="s">
        <v>1359</v>
      </c>
    </row>
    <row r="252" spans="1:44" ht="12" customHeight="1" thickBot="1">
      <c r="A252" s="4"/>
      <c r="B252" s="4"/>
      <c r="C252" s="4"/>
      <c r="D252" s="4"/>
      <c r="E252" s="4"/>
      <c r="F252" s="4"/>
      <c r="AM252" s="52" t="s">
        <v>1147</v>
      </c>
      <c r="AN252" s="121" t="s">
        <v>1725</v>
      </c>
      <c r="AO252" s="121" t="s">
        <v>1537</v>
      </c>
      <c r="AQ252" s="52" t="s">
        <v>1124</v>
      </c>
      <c r="AR252" s="52" t="s">
        <v>1360</v>
      </c>
    </row>
    <row r="253" spans="1:44" ht="12" customHeight="1" thickBot="1">
      <c r="A253" s="4"/>
      <c r="B253" s="4"/>
      <c r="C253" s="4"/>
      <c r="D253" s="4"/>
      <c r="E253" s="4"/>
      <c r="F253" s="4"/>
      <c r="AM253" s="52" t="s">
        <v>1150</v>
      </c>
      <c r="AN253" s="121" t="s">
        <v>1726</v>
      </c>
      <c r="AO253" s="121" t="s">
        <v>1545</v>
      </c>
      <c r="AQ253" s="52" t="s">
        <v>1146</v>
      </c>
      <c r="AR253" s="52" t="s">
        <v>1147</v>
      </c>
    </row>
    <row r="254" spans="1:44" ht="12" customHeight="1" thickBot="1">
      <c r="A254" s="4"/>
      <c r="B254" s="4"/>
      <c r="C254" s="4"/>
      <c r="D254" s="4"/>
      <c r="E254" s="4"/>
      <c r="F254" s="4"/>
      <c r="AM254" s="52" t="s">
        <v>1583</v>
      </c>
      <c r="AN254" s="121" t="s">
        <v>1727</v>
      </c>
      <c r="AO254" s="121" t="s">
        <v>1568</v>
      </c>
      <c r="AQ254" s="52" t="s">
        <v>1149</v>
      </c>
      <c r="AR254" s="52" t="s">
        <v>1150</v>
      </c>
    </row>
    <row r="255" spans="1:44" ht="12" customHeight="1" thickBot="1">
      <c r="A255" s="4"/>
      <c r="B255" s="4"/>
      <c r="C255" s="4"/>
      <c r="D255" s="4"/>
      <c r="E255" s="4"/>
      <c r="F255" s="4"/>
      <c r="AM255" s="52" t="s">
        <v>1361</v>
      </c>
      <c r="AN255" s="121" t="s">
        <v>1728</v>
      </c>
      <c r="AO255" s="121" t="s">
        <v>1797</v>
      </c>
      <c r="AQ255" s="52" t="s">
        <v>1026</v>
      </c>
      <c r="AR255" s="52" t="s">
        <v>1583</v>
      </c>
    </row>
    <row r="256" spans="1:44" ht="12" customHeight="1" thickBot="1">
      <c r="AM256" s="52" t="s">
        <v>1362</v>
      </c>
      <c r="AN256" s="121" t="s">
        <v>1729</v>
      </c>
      <c r="AO256" s="121" t="s">
        <v>1798</v>
      </c>
      <c r="AQ256" s="52" t="s">
        <v>1151</v>
      </c>
      <c r="AR256" s="52" t="s">
        <v>1361</v>
      </c>
    </row>
    <row r="257" spans="39:44" ht="12" customHeight="1" thickBot="1">
      <c r="AM257" s="52" t="s">
        <v>1363</v>
      </c>
      <c r="AN257" s="121" t="s">
        <v>1730</v>
      </c>
      <c r="AO257" s="121" t="s">
        <v>1451</v>
      </c>
      <c r="AQ257" s="52" t="s">
        <v>1152</v>
      </c>
      <c r="AR257" s="52" t="s">
        <v>1362</v>
      </c>
    </row>
    <row r="258" spans="39:44" ht="12" customHeight="1" thickBot="1">
      <c r="AM258" s="52" t="s">
        <v>1364</v>
      </c>
      <c r="AN258" s="121" t="s">
        <v>1731</v>
      </c>
      <c r="AO258" s="121" t="s">
        <v>1492</v>
      </c>
      <c r="AQ258" s="52" t="s">
        <v>1154</v>
      </c>
      <c r="AR258" s="52" t="s">
        <v>1363</v>
      </c>
    </row>
    <row r="259" spans="39:44" ht="12" customHeight="1" thickBot="1">
      <c r="AM259" s="52" t="s">
        <v>1157</v>
      </c>
      <c r="AN259" s="121" t="s">
        <v>327</v>
      </c>
      <c r="AO259" s="121" t="s">
        <v>1539</v>
      </c>
      <c r="AQ259" s="52" t="s">
        <v>1155</v>
      </c>
      <c r="AR259" s="52" t="s">
        <v>1364</v>
      </c>
    </row>
    <row r="260" spans="39:44" ht="12" customHeight="1" thickBot="1">
      <c r="AM260" s="52" t="s">
        <v>1365</v>
      </c>
      <c r="AN260" s="121" t="s">
        <v>1732</v>
      </c>
      <c r="AO260" s="121" t="s">
        <v>1546</v>
      </c>
      <c r="AQ260" s="52" t="s">
        <v>1156</v>
      </c>
      <c r="AR260" s="52" t="s">
        <v>1157</v>
      </c>
    </row>
    <row r="261" spans="39:44" ht="12" customHeight="1" thickBot="1">
      <c r="AM261" s="52" t="s">
        <v>1366</v>
      </c>
      <c r="AN261" s="121" t="s">
        <v>1733</v>
      </c>
      <c r="AO261" s="121" t="s">
        <v>1799</v>
      </c>
      <c r="AQ261" s="52" t="s">
        <v>1158</v>
      </c>
      <c r="AR261" s="52" t="s">
        <v>1365</v>
      </c>
    </row>
    <row r="262" spans="39:44" ht="12" customHeight="1" thickBot="1">
      <c r="AM262" s="52" t="s">
        <v>1161</v>
      </c>
      <c r="AN262" s="121" t="s">
        <v>345</v>
      </c>
      <c r="AO262" s="121" t="s">
        <v>1548</v>
      </c>
      <c r="AQ262" s="52" t="s">
        <v>1159</v>
      </c>
      <c r="AR262" s="52" t="s">
        <v>1366</v>
      </c>
    </row>
    <row r="263" spans="39:44" ht="12" customHeight="1" thickBot="1">
      <c r="AM263" s="52" t="s">
        <v>1163</v>
      </c>
      <c r="AN263" s="121" t="s">
        <v>329</v>
      </c>
      <c r="AO263" s="121" t="s">
        <v>1540</v>
      </c>
      <c r="AQ263" s="52" t="s">
        <v>1160</v>
      </c>
      <c r="AR263" s="52" t="s">
        <v>1161</v>
      </c>
    </row>
    <row r="264" spans="39:44" ht="12" customHeight="1" thickBot="1">
      <c r="AM264" s="52" t="s">
        <v>1165</v>
      </c>
      <c r="AN264" s="121" t="s">
        <v>186</v>
      </c>
      <c r="AO264" s="121" t="s">
        <v>1430</v>
      </c>
      <c r="AQ264" s="52" t="s">
        <v>1162</v>
      </c>
      <c r="AR264" s="52" t="s">
        <v>1163</v>
      </c>
    </row>
    <row r="265" spans="39:44" ht="12" customHeight="1" thickBot="1">
      <c r="AM265" s="52" t="s">
        <v>1167</v>
      </c>
      <c r="AN265" s="121" t="s">
        <v>1734</v>
      </c>
      <c r="AO265" s="121" t="s">
        <v>1800</v>
      </c>
      <c r="AQ265" s="52" t="s">
        <v>1164</v>
      </c>
      <c r="AR265" s="52" t="s">
        <v>1165</v>
      </c>
    </row>
    <row r="266" spans="39:44" ht="12" customHeight="1" thickBot="1">
      <c r="AM266" s="52" t="s">
        <v>1169</v>
      </c>
      <c r="AN266" s="121" t="s">
        <v>1735</v>
      </c>
      <c r="AO266" s="122" t="s">
        <v>1801</v>
      </c>
      <c r="AQ266" s="52" t="s">
        <v>1166</v>
      </c>
      <c r="AR266" s="52" t="s">
        <v>1167</v>
      </c>
    </row>
    <row r="267" spans="39:44" ht="12" customHeight="1" thickBot="1">
      <c r="AM267" s="52" t="s">
        <v>1367</v>
      </c>
      <c r="AN267" s="121" t="s">
        <v>1736</v>
      </c>
      <c r="AO267" s="121" t="s">
        <v>1802</v>
      </c>
      <c r="AQ267" s="52" t="s">
        <v>1168</v>
      </c>
      <c r="AR267" s="52" t="s">
        <v>1169</v>
      </c>
    </row>
    <row r="268" spans="39:44" ht="12" customHeight="1" thickBot="1">
      <c r="AM268" s="52" t="s">
        <v>1172</v>
      </c>
      <c r="AN268" s="121" t="s">
        <v>368</v>
      </c>
      <c r="AO268" s="121" t="s">
        <v>1803</v>
      </c>
      <c r="AQ268" s="52" t="s">
        <v>1170</v>
      </c>
      <c r="AR268" s="52" t="s">
        <v>1367</v>
      </c>
    </row>
    <row r="269" spans="39:44" ht="12" customHeight="1" thickBot="1">
      <c r="AM269" s="52" t="s">
        <v>1174</v>
      </c>
      <c r="AN269" s="121" t="s">
        <v>1737</v>
      </c>
      <c r="AO269" s="121" t="s">
        <v>1552</v>
      </c>
      <c r="AQ269" s="52" t="s">
        <v>1171</v>
      </c>
      <c r="AR269" s="52" t="s">
        <v>1172</v>
      </c>
    </row>
    <row r="270" spans="39:44" ht="12" customHeight="1" thickBot="1">
      <c r="AM270" s="52" t="s">
        <v>1176</v>
      </c>
      <c r="AN270" s="121" t="s">
        <v>1738</v>
      </c>
      <c r="AO270" s="121" t="s">
        <v>1804</v>
      </c>
      <c r="AQ270" s="52" t="s">
        <v>1173</v>
      </c>
      <c r="AR270" s="52" t="s">
        <v>1174</v>
      </c>
    </row>
    <row r="271" spans="39:44" ht="12" customHeight="1" thickBot="1">
      <c r="AM271" s="52" t="s">
        <v>719</v>
      </c>
      <c r="AN271" s="121" t="s">
        <v>1739</v>
      </c>
      <c r="AO271" s="121" t="s">
        <v>725</v>
      </c>
      <c r="AQ271" s="52" t="s">
        <v>1175</v>
      </c>
      <c r="AR271" s="52" t="s">
        <v>1176</v>
      </c>
    </row>
    <row r="272" spans="39:44" ht="12" customHeight="1" thickBot="1">
      <c r="AM272" s="52" t="s">
        <v>1179</v>
      </c>
      <c r="AN272" s="121" t="s">
        <v>354</v>
      </c>
      <c r="AO272" s="121" t="s">
        <v>1553</v>
      </c>
      <c r="AQ272" s="52" t="s">
        <v>1177</v>
      </c>
      <c r="AR272" s="52" t="s">
        <v>719</v>
      </c>
    </row>
    <row r="273" spans="39:44" ht="12" customHeight="1" thickBot="1">
      <c r="AM273" s="52" t="s">
        <v>1368</v>
      </c>
      <c r="AN273" s="121" t="s">
        <v>358</v>
      </c>
      <c r="AO273" s="121" t="s">
        <v>1556</v>
      </c>
      <c r="AQ273" s="52" t="s">
        <v>1178</v>
      </c>
      <c r="AR273" s="52" t="s">
        <v>1179</v>
      </c>
    </row>
    <row r="274" spans="39:44" ht="12" customHeight="1" thickBot="1">
      <c r="AM274" s="52" t="s">
        <v>1181</v>
      </c>
      <c r="AN274" s="121" t="s">
        <v>1740</v>
      </c>
      <c r="AO274" s="121" t="s">
        <v>1558</v>
      </c>
      <c r="AQ274" s="52" t="s">
        <v>1148</v>
      </c>
      <c r="AR274" s="52" t="s">
        <v>1368</v>
      </c>
    </row>
    <row r="275" spans="39:44" ht="12" customHeight="1" thickBot="1">
      <c r="AM275" s="52" t="s">
        <v>1183</v>
      </c>
      <c r="AN275" s="121" t="s">
        <v>356</v>
      </c>
      <c r="AO275" s="121" t="s">
        <v>1555</v>
      </c>
      <c r="AQ275" s="52" t="s">
        <v>1180</v>
      </c>
      <c r="AR275" s="52" t="s">
        <v>1181</v>
      </c>
    </row>
    <row r="276" spans="39:44" ht="12" customHeight="1" thickBot="1">
      <c r="AM276" s="52" t="s">
        <v>1369</v>
      </c>
      <c r="AN276" s="121" t="s">
        <v>360</v>
      </c>
      <c r="AO276" s="121" t="s">
        <v>1557</v>
      </c>
      <c r="AQ276" s="52" t="s">
        <v>1182</v>
      </c>
      <c r="AR276" s="52" t="s">
        <v>1183</v>
      </c>
    </row>
    <row r="277" spans="39:44" ht="12" customHeight="1" thickBot="1">
      <c r="AM277" s="52" t="s">
        <v>1370</v>
      </c>
      <c r="AN277" s="121" t="s">
        <v>1741</v>
      </c>
      <c r="AO277" s="121" t="s">
        <v>1554</v>
      </c>
      <c r="AQ277" s="52" t="s">
        <v>1184</v>
      </c>
      <c r="AR277" s="52" t="s">
        <v>1369</v>
      </c>
    </row>
    <row r="278" spans="39:44" ht="12" customHeight="1" thickBot="1">
      <c r="AM278" s="52" t="s">
        <v>1187</v>
      </c>
      <c r="AN278" s="121" t="s">
        <v>349</v>
      </c>
      <c r="AO278" s="121" t="s">
        <v>1549</v>
      </c>
      <c r="AQ278" s="52" t="s">
        <v>1185</v>
      </c>
      <c r="AR278" s="52" t="s">
        <v>1370</v>
      </c>
    </row>
    <row r="279" spans="39:44" ht="12" customHeight="1" thickBot="1">
      <c r="AM279" s="52" t="s">
        <v>1189</v>
      </c>
      <c r="AN279" s="121" t="s">
        <v>1742</v>
      </c>
      <c r="AO279" s="121" t="s">
        <v>1559</v>
      </c>
      <c r="AQ279" s="52" t="s">
        <v>1186</v>
      </c>
      <c r="AR279" s="52" t="s">
        <v>1187</v>
      </c>
    </row>
    <row r="280" spans="39:44" ht="12" customHeight="1" thickBot="1">
      <c r="AM280" s="52" t="s">
        <v>1191</v>
      </c>
      <c r="AN280" s="121" t="s">
        <v>1743</v>
      </c>
      <c r="AO280" s="121" t="s">
        <v>1561</v>
      </c>
      <c r="AQ280" s="52" t="s">
        <v>1188</v>
      </c>
      <c r="AR280" s="52" t="s">
        <v>1189</v>
      </c>
    </row>
    <row r="281" spans="39:44" ht="12" customHeight="1" thickBot="1">
      <c r="AM281" s="52" t="s">
        <v>1371</v>
      </c>
      <c r="AN281" s="121" t="s">
        <v>1744</v>
      </c>
      <c r="AO281" s="121" t="s">
        <v>1560</v>
      </c>
      <c r="AQ281" s="52" t="s">
        <v>1190</v>
      </c>
      <c r="AR281" s="52" t="s">
        <v>1191</v>
      </c>
    </row>
    <row r="282" spans="39:44" ht="12" customHeight="1" thickBot="1">
      <c r="AM282" s="52" t="s">
        <v>1372</v>
      </c>
      <c r="AN282" s="121" t="s">
        <v>119</v>
      </c>
      <c r="AO282" s="121" t="s">
        <v>1399</v>
      </c>
      <c r="AQ282" s="52" t="s">
        <v>1192</v>
      </c>
      <c r="AR282" s="52" t="s">
        <v>1371</v>
      </c>
    </row>
    <row r="283" spans="39:44" ht="12" customHeight="1" thickBot="1">
      <c r="AM283" s="52" t="s">
        <v>1373</v>
      </c>
      <c r="AN283" s="121" t="s">
        <v>238</v>
      </c>
      <c r="AO283" s="121" t="s">
        <v>2085</v>
      </c>
      <c r="AQ283" s="52" t="s">
        <v>1193</v>
      </c>
      <c r="AR283" s="52" t="s">
        <v>1372</v>
      </c>
    </row>
    <row r="284" spans="39:44" ht="12" customHeight="1" thickBot="1">
      <c r="AM284" s="52" t="s">
        <v>1196</v>
      </c>
      <c r="AN284" s="121" t="s">
        <v>1745</v>
      </c>
      <c r="AO284" s="121" t="s">
        <v>1805</v>
      </c>
      <c r="AQ284" s="52" t="s">
        <v>1194</v>
      </c>
      <c r="AR284" s="52" t="s">
        <v>1373</v>
      </c>
    </row>
    <row r="285" spans="39:44" ht="12" customHeight="1" thickBot="1">
      <c r="AM285" s="52" t="s">
        <v>1198</v>
      </c>
      <c r="AN285" s="121" t="s">
        <v>1746</v>
      </c>
      <c r="AO285" s="121" t="s">
        <v>1806</v>
      </c>
      <c r="AQ285" s="52" t="s">
        <v>1195</v>
      </c>
      <c r="AR285" s="52" t="s">
        <v>1196</v>
      </c>
    </row>
    <row r="286" spans="39:44" ht="12" customHeight="1" thickBot="1">
      <c r="AM286" s="52" t="s">
        <v>1200</v>
      </c>
      <c r="AN286" s="121" t="s">
        <v>1747</v>
      </c>
      <c r="AO286" s="121" t="s">
        <v>1562</v>
      </c>
      <c r="AQ286" s="52" t="s">
        <v>1197</v>
      </c>
      <c r="AR286" s="52" t="s">
        <v>1198</v>
      </c>
    </row>
    <row r="287" spans="39:44" ht="12" customHeight="1" thickBot="1">
      <c r="AM287" s="52" t="s">
        <v>1374</v>
      </c>
      <c r="AN287" s="121" t="s">
        <v>1748</v>
      </c>
      <c r="AO287" s="121" t="s">
        <v>1563</v>
      </c>
      <c r="AQ287" s="52" t="s">
        <v>1199</v>
      </c>
      <c r="AR287" s="52" t="s">
        <v>1200</v>
      </c>
    </row>
    <row r="288" spans="39:44" ht="12" customHeight="1" thickBot="1">
      <c r="AM288" s="52" t="s">
        <v>1375</v>
      </c>
      <c r="AN288" s="121" t="s">
        <v>1749</v>
      </c>
      <c r="AO288" s="121" t="s">
        <v>1565</v>
      </c>
      <c r="AQ288" s="52" t="s">
        <v>1201</v>
      </c>
      <c r="AR288" s="52" t="s">
        <v>1374</v>
      </c>
    </row>
    <row r="289" spans="39:44" ht="12" customHeight="1" thickBot="1">
      <c r="AM289" s="52" t="s">
        <v>1204</v>
      </c>
      <c r="AN289" s="121" t="s">
        <v>1750</v>
      </c>
      <c r="AO289" s="121" t="s">
        <v>1807</v>
      </c>
      <c r="AQ289" s="52" t="s">
        <v>1202</v>
      </c>
      <c r="AR289" s="52" t="s">
        <v>1375</v>
      </c>
    </row>
    <row r="290" spans="39:44" ht="12" customHeight="1" thickBot="1">
      <c r="AM290" s="52" t="s">
        <v>1206</v>
      </c>
      <c r="AN290" s="121" t="s">
        <v>1751</v>
      </c>
      <c r="AO290" s="121" t="s">
        <v>1808</v>
      </c>
      <c r="AQ290" s="52" t="s">
        <v>1203</v>
      </c>
      <c r="AR290" s="52" t="s">
        <v>1204</v>
      </c>
    </row>
    <row r="291" spans="39:44" ht="12" customHeight="1" thickBot="1">
      <c r="AM291" s="52" t="s">
        <v>1208</v>
      </c>
      <c r="AN291" s="121" t="s">
        <v>372</v>
      </c>
      <c r="AO291" s="121" t="s">
        <v>1564</v>
      </c>
      <c r="AQ291" s="52" t="s">
        <v>1205</v>
      </c>
      <c r="AR291" s="52" t="s">
        <v>1206</v>
      </c>
    </row>
    <row r="292" spans="39:44" ht="12" customHeight="1" thickBot="1">
      <c r="AM292" s="52" t="s">
        <v>1585</v>
      </c>
      <c r="AN292" s="121" t="s">
        <v>374</v>
      </c>
      <c r="AO292" s="121" t="s">
        <v>1809</v>
      </c>
      <c r="AQ292" s="52" t="s">
        <v>1207</v>
      </c>
      <c r="AR292" s="52" t="s">
        <v>1208</v>
      </c>
    </row>
    <row r="293" spans="39:44" ht="12" customHeight="1" thickBot="1">
      <c r="AM293" s="52" t="s">
        <v>1211</v>
      </c>
      <c r="AN293" s="121" t="s">
        <v>1752</v>
      </c>
      <c r="AO293" s="121" t="s">
        <v>1810</v>
      </c>
      <c r="AQ293" s="52" t="s">
        <v>1209</v>
      </c>
      <c r="AR293" s="52" t="s">
        <v>1585</v>
      </c>
    </row>
    <row r="294" spans="39:44" ht="12" customHeight="1" thickBot="1">
      <c r="AM294" s="52" t="s">
        <v>1376</v>
      </c>
      <c r="AN294" s="121" t="s">
        <v>1753</v>
      </c>
      <c r="AO294" s="121" t="s">
        <v>1449</v>
      </c>
      <c r="AQ294" s="52" t="s">
        <v>1210</v>
      </c>
      <c r="AR294" s="52" t="s">
        <v>1211</v>
      </c>
    </row>
    <row r="295" spans="39:44" ht="12" customHeight="1" thickBot="1">
      <c r="AM295" s="52" t="s">
        <v>1214</v>
      </c>
      <c r="AN295" s="121" t="s">
        <v>1754</v>
      </c>
      <c r="AO295" s="121" t="s">
        <v>1566</v>
      </c>
      <c r="AQ295" s="52" t="s">
        <v>1212</v>
      </c>
      <c r="AR295" s="52" t="s">
        <v>1376</v>
      </c>
    </row>
    <row r="296" spans="39:44" ht="12" customHeight="1" thickBot="1">
      <c r="AM296" s="52" t="s">
        <v>1216</v>
      </c>
      <c r="AN296" s="121" t="s">
        <v>1755</v>
      </c>
      <c r="AO296" s="121" t="s">
        <v>1569</v>
      </c>
      <c r="AQ296" s="52" t="s">
        <v>1213</v>
      </c>
      <c r="AR296" s="52" t="s">
        <v>1214</v>
      </c>
    </row>
    <row r="297" spans="39:44" ht="12" customHeight="1" thickBot="1">
      <c r="AM297" s="52" t="s">
        <v>1219</v>
      </c>
      <c r="AN297" s="121" t="s">
        <v>1756</v>
      </c>
      <c r="AO297" s="121" t="s">
        <v>1272</v>
      </c>
      <c r="AQ297" s="52" t="s">
        <v>1215</v>
      </c>
      <c r="AR297" s="52" t="s">
        <v>1216</v>
      </c>
    </row>
    <row r="298" spans="39:44" ht="12" customHeight="1">
      <c r="AM298" s="52" t="s">
        <v>1221</v>
      </c>
      <c r="AQ298" s="52" t="s">
        <v>1218</v>
      </c>
      <c r="AR298" s="52" t="s">
        <v>1219</v>
      </c>
    </row>
    <row r="299" spans="39:44" ht="12" customHeight="1">
      <c r="AM299" s="52" t="s">
        <v>1377</v>
      </c>
      <c r="AQ299" s="52" t="s">
        <v>1220</v>
      </c>
      <c r="AR299" s="52" t="s">
        <v>1221</v>
      </c>
    </row>
    <row r="300" spans="39:44" ht="12" customHeight="1">
      <c r="AM300" s="52" t="s">
        <v>1226</v>
      </c>
      <c r="AQ300" s="52" t="s">
        <v>1224</v>
      </c>
      <c r="AR300" s="52" t="s">
        <v>1377</v>
      </c>
    </row>
    <row r="301" spans="39:44" ht="12" customHeight="1">
      <c r="AM301" s="52" t="s">
        <v>1378</v>
      </c>
      <c r="AQ301" s="52" t="s">
        <v>1225</v>
      </c>
      <c r="AR301" s="52" t="s">
        <v>1226</v>
      </c>
    </row>
    <row r="302" spans="39:44" ht="12" customHeight="1">
      <c r="AM302" s="52" t="s">
        <v>1379</v>
      </c>
      <c r="AQ302" s="52" t="s">
        <v>1227</v>
      </c>
      <c r="AR302" s="52" t="s">
        <v>1378</v>
      </c>
    </row>
    <row r="303" spans="39:44" ht="12" customHeight="1">
      <c r="AM303" s="52" t="s">
        <v>1380</v>
      </c>
      <c r="AQ303" s="52" t="s">
        <v>1228</v>
      </c>
      <c r="AR303" s="52" t="s">
        <v>1379</v>
      </c>
    </row>
    <row r="304" spans="39:44" ht="12" customHeight="1">
      <c r="AM304" s="52" t="s">
        <v>1381</v>
      </c>
      <c r="AQ304" s="52" t="s">
        <v>1229</v>
      </c>
      <c r="AR304" s="52" t="s">
        <v>1380</v>
      </c>
    </row>
    <row r="305" spans="39:44" ht="12" customHeight="1">
      <c r="AM305" s="52" t="s">
        <v>1232</v>
      </c>
      <c r="AQ305" s="52" t="s">
        <v>1230</v>
      </c>
      <c r="AR305" s="52" t="s">
        <v>1381</v>
      </c>
    </row>
    <row r="306" spans="39:44" ht="12" customHeight="1">
      <c r="AM306" s="52" t="s">
        <v>1234</v>
      </c>
      <c r="AQ306" s="52" t="s">
        <v>1231</v>
      </c>
      <c r="AR306" s="52" t="s">
        <v>1232</v>
      </c>
    </row>
    <row r="307" spans="39:44" ht="12" customHeight="1">
      <c r="AM307" s="52" t="s">
        <v>1236</v>
      </c>
      <c r="AQ307" s="52" t="s">
        <v>1233</v>
      </c>
      <c r="AR307" s="52" t="s">
        <v>1234</v>
      </c>
    </row>
    <row r="308" spans="39:44" ht="12" customHeight="1">
      <c r="AM308" s="52" t="s">
        <v>1382</v>
      </c>
      <c r="AQ308" s="52" t="s">
        <v>1235</v>
      </c>
      <c r="AR308" s="52" t="s">
        <v>1236</v>
      </c>
    </row>
    <row r="309" spans="39:44" ht="12" customHeight="1">
      <c r="AM309" s="52" t="s">
        <v>723</v>
      </c>
      <c r="AQ309" s="52" t="s">
        <v>1237</v>
      </c>
      <c r="AR309" s="52" t="s">
        <v>1382</v>
      </c>
    </row>
    <row r="310" spans="39:44" ht="12" customHeight="1">
      <c r="AM310" s="52" t="s">
        <v>724</v>
      </c>
      <c r="AQ310" s="52" t="s">
        <v>1238</v>
      </c>
      <c r="AR310" s="52" t="s">
        <v>723</v>
      </c>
    </row>
    <row r="311" spans="39:44" ht="12" customHeight="1">
      <c r="AM311" s="52" t="s">
        <v>1241</v>
      </c>
      <c r="AQ311" s="52" t="s">
        <v>1239</v>
      </c>
      <c r="AR311" s="52" t="s">
        <v>724</v>
      </c>
    </row>
    <row r="312" spans="39:44" ht="12" customHeight="1">
      <c r="AM312" s="52" t="s">
        <v>1243</v>
      </c>
      <c r="AQ312" s="52" t="s">
        <v>1240</v>
      </c>
      <c r="AR312" s="52" t="s">
        <v>1241</v>
      </c>
    </row>
    <row r="313" spans="39:44" ht="12" customHeight="1">
      <c r="AM313" s="52" t="s">
        <v>1245</v>
      </c>
      <c r="AQ313" s="52" t="s">
        <v>1242</v>
      </c>
      <c r="AR313" s="52" t="s">
        <v>1243</v>
      </c>
    </row>
    <row r="314" spans="39:44" ht="12" customHeight="1">
      <c r="AM314" s="52" t="s">
        <v>1247</v>
      </c>
      <c r="AQ314" s="52" t="s">
        <v>1244</v>
      </c>
      <c r="AR314" s="52" t="s">
        <v>1245</v>
      </c>
    </row>
    <row r="315" spans="39:44" ht="12" customHeight="1">
      <c r="AM315" s="52" t="s">
        <v>1249</v>
      </c>
      <c r="AQ315" s="52" t="s">
        <v>1246</v>
      </c>
      <c r="AR315" s="52" t="s">
        <v>1247</v>
      </c>
    </row>
    <row r="316" spans="39:44" ht="12" customHeight="1">
      <c r="AM316" s="52" t="s">
        <v>1383</v>
      </c>
      <c r="AQ316" s="52" t="s">
        <v>1248</v>
      </c>
      <c r="AR316" s="52" t="s">
        <v>1249</v>
      </c>
    </row>
    <row r="317" spans="39:44" ht="12" customHeight="1">
      <c r="AM317" s="52" t="s">
        <v>1252</v>
      </c>
      <c r="AQ317" s="52" t="s">
        <v>1250</v>
      </c>
      <c r="AR317" s="52" t="s">
        <v>1383</v>
      </c>
    </row>
    <row r="318" spans="39:44" ht="12" customHeight="1">
      <c r="AM318" s="52" t="s">
        <v>1899</v>
      </c>
      <c r="AQ318" s="52" t="s">
        <v>1251</v>
      </c>
      <c r="AR318" s="52" t="s">
        <v>1252</v>
      </c>
    </row>
    <row r="319" spans="39:44" ht="12" customHeight="1">
      <c r="AM319" s="52" t="s">
        <v>731</v>
      </c>
      <c r="AQ319" s="52" t="s">
        <v>1040</v>
      </c>
      <c r="AR319" s="52" t="s">
        <v>1899</v>
      </c>
    </row>
    <row r="320" spans="39:44" ht="12" customHeight="1">
      <c r="AM320" s="52" t="s">
        <v>1223</v>
      </c>
      <c r="AQ320" s="52" t="s">
        <v>730</v>
      </c>
      <c r="AR320" s="52" t="s">
        <v>731</v>
      </c>
    </row>
    <row r="321" spans="39:44" ht="12" customHeight="1">
      <c r="AM321" s="52" t="s">
        <v>1028</v>
      </c>
      <c r="AQ321" s="52" t="s">
        <v>1222</v>
      </c>
      <c r="AR321" s="52" t="s">
        <v>1223</v>
      </c>
    </row>
    <row r="322" spans="39:44" ht="12" customHeight="1">
      <c r="AM322" s="113" t="s">
        <v>1900</v>
      </c>
      <c r="AQ322" s="52" t="s">
        <v>1027</v>
      </c>
      <c r="AR322" s="52" t="s">
        <v>1028</v>
      </c>
    </row>
    <row r="323" spans="39:44" ht="12" customHeight="1">
      <c r="AM323" s="1" t="s">
        <v>998</v>
      </c>
      <c r="AQ323" s="15" t="s">
        <v>745</v>
      </c>
      <c r="AR323" s="113" t="s">
        <v>1900</v>
      </c>
    </row>
    <row r="324" spans="39:44" ht="12" customHeight="1">
      <c r="AM324" s="1" t="s">
        <v>798</v>
      </c>
      <c r="AQ324" s="15" t="s">
        <v>997</v>
      </c>
      <c r="AR324" s="1" t="s">
        <v>998</v>
      </c>
    </row>
    <row r="325" spans="39:44" ht="12" customHeight="1">
      <c r="AM325" s="1" t="s">
        <v>1901</v>
      </c>
      <c r="AQ325" s="15" t="s">
        <v>797</v>
      </c>
      <c r="AR325" s="1" t="s">
        <v>798</v>
      </c>
    </row>
    <row r="326" spans="39:44" ht="12" customHeight="1">
      <c r="AM326" s="48" t="s">
        <v>1903</v>
      </c>
      <c r="AQ326" s="15" t="s">
        <v>1088</v>
      </c>
      <c r="AR326" s="1" t="s">
        <v>1901</v>
      </c>
    </row>
    <row r="327" spans="39:44" ht="12" customHeight="1">
      <c r="AM327" s="48" t="s">
        <v>2406</v>
      </c>
      <c r="AQ327" s="48" t="s">
        <v>1902</v>
      </c>
      <c r="AR327" s="48" t="s">
        <v>1903</v>
      </c>
    </row>
    <row r="328" spans="39:44" ht="12" customHeight="1">
      <c r="AM328" s="52"/>
      <c r="AQ328" s="48" t="s">
        <v>1254</v>
      </c>
      <c r="AR328" s="48" t="s">
        <v>2406</v>
      </c>
    </row>
    <row r="329" spans="39:44" ht="12" customHeight="1">
      <c r="AM329" s="52"/>
      <c r="AQ329" s="52"/>
      <c r="AR329" s="52"/>
    </row>
    <row r="330" spans="39:44" ht="12" customHeight="1">
      <c r="AM330" s="52"/>
      <c r="AQ330" s="52"/>
      <c r="AR330" s="52"/>
    </row>
    <row r="331" spans="39:44" ht="12" customHeight="1">
      <c r="AM331" s="52"/>
      <c r="AQ331" s="52"/>
      <c r="AR331" s="52"/>
    </row>
    <row r="332" spans="39:44" ht="12" customHeight="1">
      <c r="AM332" s="52"/>
      <c r="AQ332" s="52"/>
      <c r="AR332" s="52"/>
    </row>
    <row r="333" spans="39:44" ht="12" customHeight="1">
      <c r="AM333" s="52"/>
      <c r="AQ333" s="52"/>
      <c r="AR333" s="52"/>
    </row>
    <row r="334" spans="39:44" ht="12" customHeight="1">
      <c r="AM334" s="52"/>
      <c r="AQ334" s="52"/>
      <c r="AR334" s="52"/>
    </row>
    <row r="335" spans="39:44" ht="12" customHeight="1">
      <c r="AM335" s="52"/>
      <c r="AQ335" s="52"/>
      <c r="AR335" s="52"/>
    </row>
    <row r="336" spans="39:44" ht="12" customHeight="1">
      <c r="AM336" s="52"/>
      <c r="AQ336" s="52"/>
      <c r="AR336" s="52"/>
    </row>
    <row r="337" spans="39:44" ht="12" customHeight="1">
      <c r="AM337" s="52"/>
      <c r="AQ337" s="52"/>
      <c r="AR337" s="52"/>
    </row>
    <row r="338" spans="39:44" ht="12" customHeight="1">
      <c r="AM338" s="52"/>
    </row>
  </sheetData>
  <sheetProtection algorithmName="SHA-512" hashValue="B7j6+IkU5CoXUYafJypGrDbYUGaRGJSuwTrgfda6t9o6FKzqgXKhpJ+RCCuBQKbeL5GR2iO3iUwQy6G1A2uRHw==" saltValue="rEKTsKG/H/0xriogQ+nz1w==" spinCount="100000" sheet="1" objects="1" scenarios="1"/>
  <dataValidations disablePrompts="1" count="1">
    <dataValidation type="list" allowBlank="1" showInputMessage="1" showErrorMessage="1" sqref="Y26">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1545"/>
  <sheetViews>
    <sheetView zoomScale="85" zoomScaleNormal="85" workbookViewId="0">
      <selection activeCell="P3" sqref="P3"/>
    </sheetView>
  </sheetViews>
  <sheetFormatPr defaultRowHeight="13.2"/>
  <cols>
    <col min="1" max="1" width="11.5546875" style="52" customWidth="1"/>
    <col min="2" max="2" width="24.6640625" style="52" customWidth="1"/>
    <col min="3" max="3" width="2.6640625" style="236" customWidth="1"/>
    <col min="4" max="4" width="15.33203125" style="52" customWidth="1"/>
    <col min="5" max="5" width="16.33203125" style="52" customWidth="1"/>
    <col min="6" max="6" width="3.44140625" style="236" customWidth="1"/>
    <col min="7" max="7" width="24.109375" style="250" customWidth="1"/>
    <col min="8" max="8" width="22.88671875" style="52" customWidth="1"/>
    <col min="9" max="9" width="3.44140625" style="236" customWidth="1"/>
    <col min="10" max="10" width="15.109375" style="52" customWidth="1"/>
    <col min="11" max="11" width="14.88671875" style="52" customWidth="1"/>
    <col min="12" max="12" width="3" style="236" customWidth="1"/>
    <col min="13" max="14" width="9.109375" style="52"/>
    <col min="15" max="15" width="3" style="236" customWidth="1"/>
    <col min="16" max="16" width="10.33203125" style="52" bestFit="1" customWidth="1"/>
    <col min="17" max="17" width="10.88671875" style="52" customWidth="1"/>
  </cols>
  <sheetData>
    <row r="1" spans="1:24">
      <c r="A1" s="52" t="s">
        <v>75</v>
      </c>
      <c r="B1" s="52" t="str">
        <f>VLOOKUP(FALSE,A5:B85,2, 0)</f>
        <v xml:space="preserve">‘Current security level’ is required </v>
      </c>
      <c r="C1" s="236" t="s">
        <v>1853</v>
      </c>
      <c r="D1" s="52" t="s">
        <v>74</v>
      </c>
      <c r="E1" s="52" t="str">
        <f>VLOOKUP(FALSE,D5:E130,2, 0)</f>
        <v>‘Waste delivery status’ is required</v>
      </c>
      <c r="F1" s="236" t="s">
        <v>1853</v>
      </c>
      <c r="G1" s="250" t="s">
        <v>1919</v>
      </c>
      <c r="H1" s="52" t="str">
        <f>VLOOKUP(FALSE,G5:H1545,2, 0)</f>
        <v>‘Hazmat on board‘ is required</v>
      </c>
      <c r="I1" s="236" t="s">
        <v>1853</v>
      </c>
      <c r="J1" s="52" t="s">
        <v>1920</v>
      </c>
      <c r="K1" s="52" t="str">
        <f>VLOOKUP(FALSE,J5:K1545,2, 0)</f>
        <v>‘Hazmat on board‘ is required</v>
      </c>
      <c r="L1" s="236" t="s">
        <v>1853</v>
      </c>
      <c r="M1" s="52" t="s">
        <v>1879</v>
      </c>
      <c r="N1" s="52" t="str">
        <f>VLOOKUP(FALSE,M5:N17,2, 0)</f>
        <v>At least two of ‘IMO number’, ‘Ship name’, ‘Call sign’ and ‘MMSI number’ must be given</v>
      </c>
      <c r="P1" s="52" t="s">
        <v>9</v>
      </c>
      <c r="Q1" s="52" t="str">
        <f>VLOOKUP(FALSE,P5:Q23,2, 0)</f>
        <v>‘Port of call’ required</v>
      </c>
      <c r="T1" t="s">
        <v>2086</v>
      </c>
      <c r="U1" t="s">
        <v>2336</v>
      </c>
      <c r="V1" s="52" t="s">
        <v>2337</v>
      </c>
    </row>
    <row r="2" spans="1:24">
      <c r="A2" s="52" t="str">
        <f>IF(SEC_EMPTY_RES=TRUE,"Empty",IF(SEC_VALID=TRUE,"Valid","Invalid"))</f>
        <v>Empty</v>
      </c>
      <c r="B2" s="52" t="s">
        <v>2410</v>
      </c>
      <c r="C2" s="236" t="s">
        <v>1853</v>
      </c>
      <c r="D2" s="52" t="str">
        <f>IF(WAS_EMPTY_RES=TRUE,"Empty",IF(WAS_VALID=TRUE,"Valid","Invalid"))</f>
        <v>Empty</v>
      </c>
      <c r="E2" s="52" t="s">
        <v>2410</v>
      </c>
      <c r="F2" s="236" t="s">
        <v>1853</v>
      </c>
      <c r="G2" s="52" t="str">
        <f>IF(IHZ_EMPTY_RES=TRUE,"Empty",IF(IHZ_VALID=TRUE,"Valid","Invalid"))</f>
        <v>Empty</v>
      </c>
      <c r="H2" s="52" t="s">
        <v>2410</v>
      </c>
      <c r="I2" s="236" t="s">
        <v>1853</v>
      </c>
      <c r="J2" s="52" t="str">
        <f>IF(OHZ_EMPTY_RES=TRUE,"Empty",IF(OHZ_VALID=TRUE,"Valid","Invalid"))</f>
        <v>Empty</v>
      </c>
      <c r="K2" s="52" t="s">
        <v>2410</v>
      </c>
      <c r="L2" s="236" t="s">
        <v>1853</v>
      </c>
      <c r="M2" s="52" t="str">
        <f>IF(VES_EMPTY_RES=TRUE,"Empty",IF(VES_VALID=TRUE,"Valid","Invalid"))</f>
        <v>Empty</v>
      </c>
      <c r="N2" s="52" t="s">
        <v>2410</v>
      </c>
      <c r="P2" s="52" t="str">
        <f>IF(VOY_EMPTY_RES=TRUE,"Empty",IF(VOY_VALID=TRUE,"Valid","Invalid"))</f>
        <v>Empty</v>
      </c>
      <c r="Q2" s="52" t="s">
        <v>2410</v>
      </c>
      <c r="T2" s="52" t="s">
        <v>2087</v>
      </c>
      <c r="V2" s="52" t="s">
        <v>2338</v>
      </c>
    </row>
    <row r="3" spans="1:24" ht="13.8">
      <c r="A3" s="52"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s="52" t="s">
        <v>2409</v>
      </c>
      <c r="C3" s="236" t="s">
        <v>1853</v>
      </c>
      <c r="D3" s="52" t="b">
        <f>AND(INDEX(WAS_LOC_LOCODE,1,1)="",INDEX(WAS_LOC_LATITUDE,1,1)="",INDEX(WAS_LOC_LONGITUDE,1,1)="",INDEX(WAS_LOC_LOCNAME,1,1)="",INDEX(WAS_OVE_LASTPORT,1,1)="",INDEX(WAS_OVE_LASTDATE,1,1)="",INDEX(WAS_OVE_STATUS,1,1)="",INDEX(WAS_ITE_CATEGORY,1,1)="",INDEX(WAS_ITE_TYPE,1,1)="",INDEX(WAS_ITE_TYPEDESCRI,1,1)="",INDEX(WAS_ITE_DELIVERED,1,1)="",INDEX(WAS_ITE_MAXSTORAG,1,1)="",INDEX(WAS_ITE_RETAINED,1,1)="",INDEX(WAS_ITE_REMAINING,1,1)="",INDEX(WAS_ITE_GENERATED,1,1)="")</f>
        <v>1</v>
      </c>
      <c r="E3" s="52" t="s">
        <v>2409</v>
      </c>
      <c r="F3" s="236" t="s">
        <v>1853</v>
      </c>
      <c r="G3" s="250"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s="52" t="s">
        <v>2409</v>
      </c>
      <c r="I3" s="236" t="s">
        <v>1853</v>
      </c>
      <c r="J3" s="52"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s="52" t="s">
        <v>2409</v>
      </c>
      <c r="L3" s="236" t="s">
        <v>1853</v>
      </c>
      <c r="M3" s="52"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s="52" t="s">
        <v>2409</v>
      </c>
      <c r="O3" s="236" t="s">
        <v>1853</v>
      </c>
      <c r="P3" s="586" t="b">
        <f>AND(INDEX(VOY_VOY_PORTFACILI,1,1)="",INDEX(VOY_VOY_POSIINPORT,1,1)="",VOY_VOY_PORTOFCALL="Select port of call from cell above…",VOY_VOY_LASTPORT="",VOY_VOY_NEXTPORT="",INDEX(VOY_VOY_ETA,1,1)="",INDEX(VOY_VOY_ETD,1,1)="",INDEX(VOY_VOY_ETDFROMPOC,1,1)="",INDEX(VOY_VOY_ETATONEXTP,1,1)="",INDEX(VOY_VOY_BRIEFCARGO,1,1)="",INDEX(VOY_POBPOC,1,1)="",INDEX(VOY_ARR_ATA,1,1)="",INDEX(VOY_ARR_ANCHORAGE,1,1)="",INDEX(VOY_DEP_ATD,1,1)="",INDEX(VOY_DEP_POBNEXTPOC,1,1)="")</f>
        <v>1</v>
      </c>
      <c r="Q3" s="52" t="s">
        <v>2409</v>
      </c>
      <c r="T3" s="52" t="s">
        <v>2088</v>
      </c>
      <c r="V3" s="52" t="s">
        <v>2339</v>
      </c>
    </row>
    <row r="4" spans="1:24">
      <c r="A4" s="52" t="b">
        <f ca="1">(COUNTIF(A5:A85,FALSE)&lt;1)</f>
        <v>0</v>
      </c>
      <c r="B4" s="52" t="s">
        <v>1921</v>
      </c>
      <c r="C4" s="236" t="s">
        <v>1853</v>
      </c>
      <c r="D4" s="52" t="b">
        <f>(COUNTIF(D5:D130,FALSE)&lt;1)</f>
        <v>0</v>
      </c>
      <c r="E4" s="52" t="s">
        <v>1921</v>
      </c>
      <c r="F4" s="236" t="s">
        <v>1853</v>
      </c>
      <c r="G4" s="250" t="b">
        <f ca="1">(COUNTIF(G5:G1549,FALSE)&lt;1)</f>
        <v>0</v>
      </c>
      <c r="H4" s="52" t="s">
        <v>1921</v>
      </c>
      <c r="I4" s="236" t="s">
        <v>1853</v>
      </c>
      <c r="J4" s="52" t="b">
        <f ca="1">(COUNTIF(J5:J1545,FALSE)&lt;1)</f>
        <v>0</v>
      </c>
      <c r="K4" s="52" t="s">
        <v>1921</v>
      </c>
      <c r="L4" s="236" t="s">
        <v>1853</v>
      </c>
      <c r="M4" s="52" t="b">
        <f>(COUNTIF(M5:M17,FALSE)&lt;1)</f>
        <v>0</v>
      </c>
      <c r="N4" s="52" t="s">
        <v>1921</v>
      </c>
      <c r="P4" s="52" t="b">
        <f>(COUNTIF(P5:P23,FALSE)&lt;1)</f>
        <v>0</v>
      </c>
      <c r="Q4" s="52" t="s">
        <v>1921</v>
      </c>
      <c r="T4" s="52" t="s">
        <v>2089</v>
      </c>
      <c r="V4" s="52" t="s">
        <v>2340</v>
      </c>
    </row>
    <row r="5" spans="1:24">
      <c r="A5" s="52" t="b">
        <f>SEC_CURRENTSEC&lt;&gt;""</f>
        <v>0</v>
      </c>
      <c r="B5" s="238" t="s">
        <v>1923</v>
      </c>
      <c r="C5" s="236" t="s">
        <v>1853</v>
      </c>
      <c r="D5" s="52" t="b">
        <f>WAS_OVE_STATUS&lt;&gt;""</f>
        <v>0</v>
      </c>
      <c r="E5" s="237" t="s">
        <v>1924</v>
      </c>
      <c r="F5" s="236" t="s">
        <v>1853</v>
      </c>
      <c r="G5" s="250" t="b">
        <f>IHZ_DET_HAZONBOARD&lt;&gt;""</f>
        <v>0</v>
      </c>
      <c r="H5" s="237" t="s">
        <v>1925</v>
      </c>
      <c r="I5" s="236" t="s">
        <v>1853</v>
      </c>
      <c r="J5" s="52" t="b">
        <f>OHZ_DET_HAZONBOARD&lt;&gt;""</f>
        <v>0</v>
      </c>
      <c r="K5" s="237" t="s">
        <v>1925</v>
      </c>
      <c r="L5" s="236" t="s">
        <v>1853</v>
      </c>
      <c r="M5" s="313" t="b">
        <f>IF(ISBLANK(VES_VID_IMO), TRUE(),IFERROR(IF(AND(LEN(TRIM(VES_VID_IMO))=7,EXACT(MOD(RIGHT(LEFT(VES_VID_IMO,1),1)*7+RIGHT(LEFT(VES_VID_IMO,2),1)*6+RIGHT(LEFT(VES_VID_IMO,3),1)*5+RIGHT(LEFT(VES_VID_IMO,4),1)*4+RIGHT(LEFT(VES_VID_IMO,5),1)*3+RIGHT(LEFT(VES_VID_IMO,6),1)*2,10),RIGHT(LEFT(VES_VID_IMO,7)))),TRUE(),FALSE()),FALSE()))</f>
        <v>1</v>
      </c>
      <c r="N5" s="314" t="s">
        <v>1977</v>
      </c>
      <c r="P5" s="52" t="b">
        <f>IFERROR(TMP_VOY_PORTOFCALL,FALSE)</f>
        <v>0</v>
      </c>
      <c r="Q5" s="237" t="s">
        <v>1963</v>
      </c>
      <c r="T5" s="52" t="s">
        <v>2090</v>
      </c>
      <c r="V5" s="52" t="s">
        <v>2341</v>
      </c>
    </row>
    <row r="6" spans="1:24">
      <c r="A6" s="52" t="b">
        <f>OR(SEC_AGENT_PHONE&lt;&gt;"",SEC_AGENT_FAX&lt;&gt;"",SEC_AGENT_EMAIL&lt;&gt;"",SEC_AGENT_NAME="")</f>
        <v>1</v>
      </c>
      <c r="B6" s="238" t="s">
        <v>1926</v>
      </c>
      <c r="C6" s="236" t="s">
        <v>1853</v>
      </c>
      <c r="D6" s="52" t="b">
        <f>IF(AND(WAS_OVE_STATUS="ALL",COUNTIF(WAS_ITE_REMAINING,"")&lt;36),FALSE,TRUE)</f>
        <v>1</v>
      </c>
      <c r="E6" s="239" t="s">
        <v>1964</v>
      </c>
      <c r="F6" s="236" t="s">
        <v>1853</v>
      </c>
      <c r="G6" s="249" t="b">
        <f>OR(AND(INDEX(IHZ_DET_URL,1)="",INDEX(IHZ_DET_DOCTYPE,1)=""),AND(INDEX(IHZ_DET_URL,1)&lt;&gt;"",INDEX(IHZ_DET_DOCTYPE,1)&lt;&gt;""))</f>
        <v>1</v>
      </c>
      <c r="H6" s="238" t="s">
        <v>1927</v>
      </c>
      <c r="I6" s="236" t="s">
        <v>1853</v>
      </c>
      <c r="J6" s="52" t="b">
        <f>OR(AND(INDEX(OHZ_DET_URL,1,1)="",INDEX(OHZ_DET_DOCTYPE,1,1)=""),AND(INDEX(OHZ_DET_URL,1,1)&lt;&gt;"",INDEX(OHZ_DET_DOCTYPE,1,1)&lt;&gt;""))</f>
        <v>1</v>
      </c>
      <c r="K6" s="238" t="s">
        <v>1927</v>
      </c>
      <c r="L6" s="236" t="s">
        <v>1853</v>
      </c>
      <c r="M6" s="313" t="b">
        <f>LEN(VES_VID_SHIPNAME)&lt;36</f>
        <v>1</v>
      </c>
      <c r="N6" s="314" t="s">
        <v>1978</v>
      </c>
      <c r="P6" s="52" t="b">
        <f>OR(VOY_VOY_ETA&lt;&gt;"",VOY_ARR_ATA&lt;&gt;"")</f>
        <v>0</v>
      </c>
      <c r="Q6" s="237" t="s">
        <v>1932</v>
      </c>
      <c r="T6" s="52" t="s">
        <v>2091</v>
      </c>
      <c r="V6" s="52" t="s">
        <v>2342</v>
      </c>
    </row>
    <row r="7" spans="1:24">
      <c r="A7" s="52" t="b">
        <f>SEC_ISSC_ISVALID&lt;&gt;""</f>
        <v>0</v>
      </c>
      <c r="B7" s="238" t="s">
        <v>1929</v>
      </c>
      <c r="C7" s="236" t="s">
        <v>1853</v>
      </c>
      <c r="D7" s="52" t="b">
        <f>IF(OR(INDEX(WAS_ITE_CATEGORY,1,1)&lt;&gt;"",INDEX(WAS_ITE_TYPE,1,1)&lt;&gt;"",INDEX(WAS_ITE_TYPEDESCRI,1,1)&lt;&gt;"",INDEX(WAS_ITE_DELIVERED,1,1)&lt;&gt;"",INDEX(WAS_ITE_MAXSTORAG,1,1)&lt;&gt;"",INDEX(WAS_ITE_RETAINED,1,1)&lt;&gt;"",INDEX(WAS_ITE_REMAINING,1,1)&lt;&gt;"",INDEX(WAS_ITE_GENERATED,1,1)&lt;&gt;"",),IF(OR(INDEX(WAS_ITE_CATEGORY,1,1)="",INDEX(WAS_ITE_TYPE,1,1)="",INDEX(WAS_ITE_DELIVERED,1,1)="",INDEX(WAS_ITE_MAXSTORAG,1,1)="",INDEX(WAS_ITE_RETAINED,1,1)="",INDEX(WAS_ITE_GENERATED,1,1)="",INDEX(WAS_ITE_DELIVEREDU,1,1)="",INDEX(WAS_ITE_RETAINEDU,1,1)="",INDEX(WAS_ITE_GENERATEDU,1,1)="",INDEX(WAS_ITE_MAXSTORAGU,1,1)="",),FALSE,TRUE),TRUE)</f>
        <v>1</v>
      </c>
      <c r="E7" s="52" t="str">
        <f>T1&amp;$U$1</f>
        <v>Row 1 - ‘Waste item’ information required</v>
      </c>
      <c r="F7" s="236" t="s">
        <v>1853</v>
      </c>
      <c r="G7" s="52" t="b">
        <f>IF(OR(INDEX(IHZ_CON_EMAIL,1,1)&lt;&gt;"",INDEX(IHZ_CON_FAX,1,1)&lt;&gt;"",INDEX(IHZ_CON_FIRSTNAME,1,1)&lt;&gt;"",INDEX(IHZ_CON_LOCODE,1,1)&lt;&gt;""),INDEX(IHZ_CON_PHONE,1,1)&lt;&gt;"",TRUE)</f>
        <v>1</v>
      </c>
      <c r="H7" s="52" t="s">
        <v>1930</v>
      </c>
      <c r="I7" s="236" t="s">
        <v>1853</v>
      </c>
      <c r="J7" s="52" t="b">
        <f>IF(OR(INDEX(OHZ_CON_EMAIL,1,1)&lt;&gt;"",INDEX(OHZ_CON_FAX,1,1)&lt;&gt;"",INDEX(OHZ_CON_FIRSTNAME,1,1)&lt;&gt;"",INDEX(OHZ_CON_LOCODE,1,1)&lt;&gt;""),INDEX(OHZ_CON_PHONE,1,1)&lt;&gt;"",TRUE)</f>
        <v>1</v>
      </c>
      <c r="K7" s="52" t="s">
        <v>1930</v>
      </c>
      <c r="L7" s="236" t="s">
        <v>1853</v>
      </c>
      <c r="M7" s="313" t="b">
        <f>LEN(VES_VID_CALLSIGN)&lt;8</f>
        <v>1</v>
      </c>
      <c r="N7" s="314" t="s">
        <v>1979</v>
      </c>
      <c r="P7" s="52" t="b">
        <f>OR(VOY_VOY_ETD&lt;&gt;"",VOY_DEP_ATD&lt;&gt;"")</f>
        <v>0</v>
      </c>
      <c r="Q7" s="238" t="s">
        <v>1934</v>
      </c>
      <c r="T7" s="52" t="s">
        <v>2092</v>
      </c>
      <c r="V7" s="52"/>
    </row>
    <row r="8" spans="1:24">
      <c r="A8" s="52" t="b">
        <f>OR(AND(INDEX(SEC_ISSC_ISVALID,1,1)="FALSE",INDEX(SEC_ISSC_REASON,1,1)&lt;&gt;""),SEC_ISSC_ISVALID="TRUE")</f>
        <v>0</v>
      </c>
      <c r="B8" s="238" t="s">
        <v>1933</v>
      </c>
      <c r="C8" s="236" t="s">
        <v>1853</v>
      </c>
      <c r="D8" s="52" t="b">
        <f>IF(OR(INDEX(WAS_ITE_CATEGORY,2,1)&lt;&gt;"",INDEX(WAS_ITE_TYPE,2,1)&lt;&gt;"",INDEX(WAS_ITE_TYPEDESCRI,2,1)&lt;&gt;"",INDEX(WAS_ITE_DELIVERED,2,1)&lt;&gt;"",INDEX(WAS_ITE_MAXSTORAG,2,1)&lt;&gt;"",INDEX(WAS_ITE_RETAINED,2,1)&lt;&gt;"",INDEX(WAS_ITE_REMAINING,2,1)&lt;&gt;"",INDEX(WAS_ITE_GENERATED,2,1)&lt;&gt;"",),IF(OR(INDEX(WAS_ITE_CATEGORY,2,1)="",INDEX(WAS_ITE_TYPE,2,1)="",INDEX(WAS_ITE_DELIVERED,2,1)="",INDEX(WAS_ITE_MAXSTORAG,2,1)="",INDEX(WAS_ITE_RETAINED,2,1)="",INDEX(WAS_ITE_GENERATED,2,1)="",INDEX(WAS_ITE_DELIVEREDU,2,1)="",INDEX(WAS_ITE_RETAINEDU,2,1)="",INDEX(WAS_ITE_GENERATEDU,2,1)="",INDEX(WAS_ITE_MAXSTORAGU,2,1)="",),FALSE,TRUE),TRUE)</f>
        <v>1</v>
      </c>
      <c r="E8" s="52" t="str">
        <f>T2&amp;$U$1</f>
        <v>Row 2 - ‘Waste item’ information required</v>
      </c>
      <c r="F8" s="236" t="s">
        <v>1853</v>
      </c>
      <c r="G8" s="250"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s="237" t="str">
        <f>T1&amp;$V$1</f>
        <v>Row 1 - All mandatory fields must be given</v>
      </c>
      <c r="I8" s="236" t="s">
        <v>1853</v>
      </c>
      <c r="J8" s="52"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s="237" t="str">
        <f>T1&amp;$V$1</f>
        <v>Row 1 - All mandatory fields must be given</v>
      </c>
      <c r="L8" s="236" t="s">
        <v>1853</v>
      </c>
      <c r="M8" s="313" t="b">
        <f>OR(VES_VID_MMSI="",AND(VES_VID_MMSI&gt;100000000,VES_VID_MMSI&lt;999999999))</f>
        <v>1</v>
      </c>
      <c r="N8" s="314" t="s">
        <v>1980</v>
      </c>
      <c r="P8" s="52" t="b">
        <f>NOT(AND(SUM_INCLUDE_IHZ="Include",IHZ_DET_HAZONBOARD="Yes",VOY_POBPOC=""))</f>
        <v>1</v>
      </c>
      <c r="Q8" s="237" t="s">
        <v>1936</v>
      </c>
      <c r="T8" s="52" t="s">
        <v>2093</v>
      </c>
      <c r="V8" s="52"/>
    </row>
    <row r="9" spans="1:24">
      <c r="A9" s="52" t="b">
        <f>IF(SEC_SECURITYPL&lt;&gt;"",TRUE,FALSE)</f>
        <v>0</v>
      </c>
      <c r="B9" s="238" t="s">
        <v>1935</v>
      </c>
      <c r="C9" s="236" t="s">
        <v>1853</v>
      </c>
      <c r="D9" s="52" t="b">
        <f>IF(OR(INDEX(WAS_ITE_CATEGORY,3,1)&lt;&gt;"",INDEX(WAS_ITE_TYPE,3,1)&lt;&gt;"",INDEX(WAS_ITE_TYPEDESCRI,3,1)&lt;&gt;"",INDEX(WAS_ITE_DELIVERED,3,1)&lt;&gt;"",INDEX(WAS_ITE_MAXSTORAG,3,1)&lt;&gt;"",INDEX(WAS_ITE_RETAINED,3,1)&lt;&gt;"",INDEX(WAS_ITE_REMAINING,3,1)&lt;&gt;"",INDEX(WAS_ITE_GENERATED,3,1)&lt;&gt;"",),IF(OR(INDEX(WAS_ITE_CATEGORY,3,1)="",INDEX(WAS_ITE_TYPE,3,1)="",INDEX(WAS_ITE_DELIVERED,3,1)="",INDEX(WAS_ITE_MAXSTORAG,3,1)="",INDEX(WAS_ITE_RETAINED,3,1)="",INDEX(WAS_ITE_GENERATED,3,1)="",INDEX(WAS_ITE_DELIVEREDU,3,1)="",INDEX(WAS_ITE_RETAINEDU,3,1)="",INDEX(WAS_ITE_GENERATEDU,3,1)="",INDEX(WAS_ITE_MAXSTORAGU,3,1)="",),FALSE,TRUE),TRUE)</f>
        <v>1</v>
      </c>
      <c r="E9" s="52" t="str">
        <f t="shared" ref="E9:E42" si="0">T3&amp;$U$1</f>
        <v>Row 3 - ‘Waste item’ information required</v>
      </c>
      <c r="F9" s="236" t="s">
        <v>1853</v>
      </c>
      <c r="G9" s="250" t="b">
        <f>IF(OR(INDEX(IHZ_HAZ_CONSIGNMENT,2,1)&lt;&gt;"",INDEX(IHZ_HAZ_TRANSDOCID,2,1)&lt;&gt;"",INDEX(IHZ_HAZ_PORTOFLOADING,2,1)&lt;&gt;"",INDEX(IHZ_HAZ_PORTOFDISCHARGE,2,1)&lt;&gt;"",INDEX(IHZ_HAZ_DPGREF,2,1)&lt;&gt;"",INDEX(IHZ_HAZ_DGCLASSIFI,2,1)&lt;&gt;"",INDEX(IHZ_HAZ_TEXTUALREF,2,1)&lt;&gt;"",INDEX(IHZ_HAZ_IMOHAZARDC,2,1)&lt;&gt;"",INDEX(IHZ_HAZ_UNNUMBER,2,1)&lt;&gt;"",INDEX(IHZ_HAZ_TOTAMOUNT,2,1)&lt;&gt;"",INDEX(IHZ_HAZ_PACKINGGRO,2,1)&lt;&gt;"",INDEX(IHZ_HAZ_FLASHPOINT,2,1)&lt;&gt;"",INDEX(IHZ_HAZ_MARPOLCODE,2,1)&lt;&gt;"",INDEX(IHZ_HAZ_PACTYPE,2,1)&lt;&gt;"",INDEX(IHZ_HAZ_TOTALPACKA,2,1)&lt;&gt;"",INDEX(IHZ_HAZ_ADDITIONAL,2,1)&lt;&gt;"",INDEX(IHZ_HAZ_EMS,2,1)&lt;&gt;"",INDEX(IHZ_HAZ_SUBSIDIARY,2,1)&lt;&gt;"",INDEX(IHZ_HAZ_UNITTYPE,2,1)&lt;&gt;"",INDEX(IHZ_HAZ_TEUID,2,1)&lt;&gt;"",INDEX(IHZ_HAZ_LOCATION,2,1)&lt;&gt;"",INDEX(IHZ_HAZ_PACKAGES,2,1)&lt;&gt;"",INDEX(IHZ_HAZ_AMOUNT,2,1)&lt;&gt;"",),IF(OR(INDEX(IHZ_HAZ_DGCLASSIFI,2,1)="",INDEX(IHZ_HAZ_TEXTUALREF,2,1)="",INDEX(IHZ_HAZ_TOTAMOUNT,2,1)="",INDEX(IHZ_HAZ_DPGREF,2,1)="",INDEX(IHZ_HAZ_CONSIGNMENT,2,1)="",),FALSE,TRUE),TRUE)</f>
        <v>1</v>
      </c>
      <c r="H9" s="237" t="str">
        <f t="shared" ref="H9:H72" si="1">T2&amp;$V$1</f>
        <v>Row 2 - All mandatory fields must be given</v>
      </c>
      <c r="I9" s="236" t="s">
        <v>1853</v>
      </c>
      <c r="J9" s="52" t="b">
        <f>IF(OR(INDEX(OHZ_HAZ_CONSIGNMENT,2,1)&lt;&gt;"",INDEX(OHZ_HAZ_TRANSDOCID,2,1)&lt;&gt;"",INDEX(OHZ_HAZ_PORTOFLOADING,2,1)&lt;&gt;"",INDEX(OHZ_HAZ_PORTOFDISCHARGE,2,1)&lt;&gt;"",INDEX(OHZ_HAZ_DPGREF,2,1)&lt;&gt;"",INDEX(OHZ_HAZ_DGCLASSIFI,2,1)&lt;&gt;"",INDEX(OHZ_HAZ_TEXTUALREF,2,1)&lt;&gt;"",INDEX(OHZ_HAZ_IMOHAZARDC,2,1)&lt;&gt;"",INDEX(OHZ_HAZ_UNNUMBER,2,1)&lt;&gt;"",INDEX(OHZ_HAZ_TOTAMOUNT,2,1)&lt;&gt;"",INDEX(OHZ_HAZ_PACKINGGRO,2,1)&lt;&gt;"",INDEX(OHZ_HAZ_FLASHPOINT,2,1)&lt;&gt;"",INDEX(OHZ_HAZ_MARPOLCODE,2,1)&lt;&gt;"",INDEX(OHZ_HAZ_PACTYPE,2,1)&lt;&gt;"",INDEX(OHZ_HAZ_TOTALPACKA,2,1)&lt;&gt;"",INDEX(OHZ_HAZ_ADDITIONAL,2,1)&lt;&gt;"",INDEX(OHZ_HAZ_EMS,2,1)&lt;&gt;"",INDEX(OHZ_HAZ_SUBSIDIARY,2,1)&lt;&gt;"",INDEX(OHZ_HAZ_UNITTYPE,2,1)&lt;&gt;"",INDEX(OHZ_HAZ_TEUID,2,1)&lt;&gt;"",INDEX(OHZ_HAZ_LOCATION,2,1)&lt;&gt;"",INDEX(OHZ_HAZ_PACKAGES,2,1)&lt;&gt;"",INDEX(OHZ_HAZ_AMOUNT,2,1)&lt;&gt;"",),IF(OR(INDEX(OHZ_HAZ_DGCLASSIFI,2,1)="",INDEX(OHZ_HAZ_TEXTUALREF,2,1)="",INDEX(OHZ_HAZ_TOTAMOUNT,2,1)="",INDEX(OHZ_HAZ_DPGREF,2,1)="",INDEX(OHZ_HAZ_CONSIGNMENT,2,1)="",),FALSE,TRUE),TRUE)</f>
        <v>1</v>
      </c>
      <c r="K9" s="237" t="str">
        <f t="shared" ref="K9:K72" si="2">T2&amp;$V$1</f>
        <v>Row 2 - All mandatory fields must be given</v>
      </c>
      <c r="L9" s="236" t="s">
        <v>1853</v>
      </c>
      <c r="M9" s="313" t="b">
        <f>OR(VES_VDE_GROSSTONNA="",AND(VES_VDE_GROSSTONNA&gt;0,VES_VDE_GROSSTONNA&lt;1000000))</f>
        <v>1</v>
      </c>
      <c r="N9" s="314" t="s">
        <v>1982</v>
      </c>
      <c r="P9" s="52" t="b">
        <f>NOT(AND(SUM_INCLUDE_OHZ="Include",OHZ_DET_HAZONBOARD="Yes",VOY_DEP_POBNEXTPOC=""))</f>
        <v>1</v>
      </c>
      <c r="Q9" s="237" t="s">
        <v>1938</v>
      </c>
      <c r="T9" s="52" t="s">
        <v>2094</v>
      </c>
      <c r="V9" s="52"/>
    </row>
    <row r="10" spans="1:24">
      <c r="A10" s="52" t="b">
        <f>AND(SEC_CSO_LASTNAME&lt;&gt;"",OR(SEC_CSO_PHONE&lt;&gt;"",SEC_CSO_FAX&lt;&gt;"",SEC_CSO_EMAIL&lt;&gt;""))</f>
        <v>0</v>
      </c>
      <c r="B10" s="52" t="s">
        <v>1937</v>
      </c>
      <c r="C10" s="236" t="s">
        <v>1853</v>
      </c>
      <c r="D10" s="52" t="b">
        <f>IF(OR(INDEX(WAS_ITE_CATEGORY,4,1)&lt;&gt;"",INDEX(WAS_ITE_TYPE,4,1)&lt;&gt;"",INDEX(WAS_ITE_TYPEDESCRI,4,1)&lt;&gt;"",INDEX(WAS_ITE_DELIVERED,4,1)&lt;&gt;"",INDEX(WAS_ITE_MAXSTORAG,4,1)&lt;&gt;"",INDEX(WAS_ITE_RETAINED,4,1)&lt;&gt;"",INDEX(WAS_ITE_REMAINING,4,1)&lt;&gt;"",INDEX(WAS_ITE_GENERATED,4,1)&lt;&gt;"",),IF(OR(INDEX(WAS_ITE_CATEGORY,4,1)="",INDEX(WAS_ITE_TYPE,4,1)="",INDEX(WAS_ITE_DELIVERED,4,1)="",INDEX(WAS_ITE_MAXSTORAG,4,1)="",INDEX(WAS_ITE_RETAINED,4,1)="",INDEX(WAS_ITE_GENERATED,4,1)="",INDEX(WAS_ITE_DELIVEREDU,4,1)="",INDEX(WAS_ITE_RETAINEDU,4,1)="",INDEX(WAS_ITE_GENERATEDU,4,1)="",INDEX(WAS_ITE_MAXSTORAGU,4,1)="",),FALSE,TRUE),TRUE)</f>
        <v>1</v>
      </c>
      <c r="E10" s="52" t="str">
        <f t="shared" si="0"/>
        <v>Row 4 - ‘Waste item’ information required</v>
      </c>
      <c r="F10" s="236" t="s">
        <v>1853</v>
      </c>
      <c r="G10" s="250" t="b">
        <f>IF(OR(INDEX(IHZ_HAZ_CONSIGNMENT,3,1)&lt;&gt;"",INDEX(IHZ_HAZ_TRANSDOCID,3,1)&lt;&gt;"",INDEX(IHZ_HAZ_PORTOFLOADING,3,1)&lt;&gt;"",INDEX(IHZ_HAZ_PORTOFDISCHARGE,3,1)&lt;&gt;"",INDEX(IHZ_HAZ_DPGREF,3,1)&lt;&gt;"",INDEX(IHZ_HAZ_DGCLASSIFI,3,1)&lt;&gt;"",INDEX(IHZ_HAZ_TEXTUALREF,3,1)&lt;&gt;"",INDEX(IHZ_HAZ_IMOHAZARDC,3,1)&lt;&gt;"",INDEX(IHZ_HAZ_UNNUMBER,3,1)&lt;&gt;"",INDEX(IHZ_HAZ_TOTAMOUNT,3,1)&lt;&gt;"",INDEX(IHZ_HAZ_PACKINGGRO,3,1)&lt;&gt;"",INDEX(IHZ_HAZ_FLASHPOINT,3,1)&lt;&gt;"",INDEX(IHZ_HAZ_MARPOLCODE,3,1)&lt;&gt;"",INDEX(IHZ_HAZ_PACTYPE,3,1)&lt;&gt;"",INDEX(IHZ_HAZ_TOTALPACKA,3,1)&lt;&gt;"",INDEX(IHZ_HAZ_ADDITIONAL,3,1)&lt;&gt;"",INDEX(IHZ_HAZ_EMS,3,1)&lt;&gt;"",INDEX(IHZ_HAZ_SUBSIDIARY,3,1)&lt;&gt;"",INDEX(IHZ_HAZ_UNITTYPE,3,1)&lt;&gt;"",INDEX(IHZ_HAZ_TEUID,3,1)&lt;&gt;"",INDEX(IHZ_HAZ_LOCATION,3,1)&lt;&gt;"",INDEX(IHZ_HAZ_PACKAGES,3,1)&lt;&gt;"",INDEX(IHZ_HAZ_AMOUNT,3,1)&lt;&gt;"",),IF(OR(INDEX(IHZ_HAZ_DGCLASSIFI,3,1)="",INDEX(IHZ_HAZ_TEXTUALREF,3,1)="",INDEX(IHZ_HAZ_TOTAMOUNT,3,1)="",INDEX(IHZ_HAZ_DPGREF,3,1)="",INDEX(IHZ_HAZ_CONSIGNMENT,3,1)="",),FALSE,TRUE),TRUE)</f>
        <v>1</v>
      </c>
      <c r="H10" s="237" t="str">
        <f t="shared" si="1"/>
        <v>Row 3 - All mandatory fields must be given</v>
      </c>
      <c r="I10" s="236" t="s">
        <v>1853</v>
      </c>
      <c r="J10" s="52" t="b">
        <f>IF(OR(INDEX(OHZ_HAZ_CONSIGNMENT,3,1)&lt;&gt;"",INDEX(OHZ_HAZ_TRANSDOCID,3,1)&lt;&gt;"",INDEX(OHZ_HAZ_PORTOFLOADING,3,1)&lt;&gt;"",INDEX(OHZ_HAZ_PORTOFDISCHARGE,3,1)&lt;&gt;"",INDEX(OHZ_HAZ_DPGREF,3,1)&lt;&gt;"",INDEX(OHZ_HAZ_DGCLASSIFI,3,1)&lt;&gt;"",INDEX(OHZ_HAZ_TEXTUALREF,3,1)&lt;&gt;"",INDEX(OHZ_HAZ_IMOHAZARDC,3,1)&lt;&gt;"",INDEX(OHZ_HAZ_UNNUMBER,3,1)&lt;&gt;"",INDEX(OHZ_HAZ_TOTAMOUNT,3,1)&lt;&gt;"",INDEX(OHZ_HAZ_PACKINGGRO,3,1)&lt;&gt;"",INDEX(OHZ_HAZ_FLASHPOINT,3,1)&lt;&gt;"",INDEX(OHZ_HAZ_MARPOLCODE,3,1)&lt;&gt;"",INDEX(OHZ_HAZ_PACTYPE,3,1)&lt;&gt;"",INDEX(OHZ_HAZ_TOTALPACKA,3,1)&lt;&gt;"",INDEX(OHZ_HAZ_ADDITIONAL,3,1)&lt;&gt;"",INDEX(OHZ_HAZ_EMS,3,1)&lt;&gt;"",INDEX(OHZ_HAZ_SUBSIDIARY,3,1)&lt;&gt;"",INDEX(OHZ_HAZ_UNITTYPE,3,1)&lt;&gt;"",INDEX(OHZ_HAZ_TEUID,3,1)&lt;&gt;"",INDEX(OHZ_HAZ_LOCATION,3,1)&lt;&gt;"",INDEX(OHZ_HAZ_PACKAGES,3,1)&lt;&gt;"",INDEX(OHZ_HAZ_AMOUNT,3,1)&lt;&gt;"",),IF(OR(INDEX(OHZ_HAZ_DGCLASSIFI,3,1)="",INDEX(OHZ_HAZ_TEXTUALREF,3,1)="",INDEX(OHZ_HAZ_TOTAMOUNT,3,1)="",INDEX(OHZ_HAZ_DPGREF,3,1)="",INDEX(OHZ_HAZ_CONSIGNMENT,3,1)="",),FALSE,TRUE),TRUE)</f>
        <v>1</v>
      </c>
      <c r="K10" s="237" t="str">
        <f t="shared" si="2"/>
        <v>Row 3 - All mandatory fields must be given</v>
      </c>
      <c r="L10" s="236" t="s">
        <v>1853</v>
      </c>
      <c r="M10" s="313" t="b">
        <f>OR(VES_VDE_SHIPTYPE="",COUNTIF(Ship_types,VES_VDE_SHIPTYPE)=1)</f>
        <v>1</v>
      </c>
      <c r="N10" s="314" t="s">
        <v>1981</v>
      </c>
      <c r="P10" s="52" t="b">
        <f>NOT(AND(SUM_INCLUDE_OHZ="Include",OHZ_DET_HAZONBOARD="Yes",VOY_VOY_NEXTPORT=""))</f>
        <v>1</v>
      </c>
      <c r="Q10" s="237" t="s">
        <v>1940</v>
      </c>
      <c r="T10" s="52" t="s">
        <v>2095</v>
      </c>
      <c r="V10" s="52"/>
      <c r="X10" s="52"/>
    </row>
    <row r="11" spans="1:24">
      <c r="A11" s="52" t="b">
        <f>OR(AND(SEC_ISSC_ISVALID="TRUE",SEC_ISSC_TYPE&lt;&gt;"",SEC_ISSC_ISSUER&lt;&gt;"",SEC_ISSC_EXPIRY&lt;&gt;""),SEC_ISSC_ISVALID="FALSE")</f>
        <v>0</v>
      </c>
      <c r="B11" s="52" t="s">
        <v>1939</v>
      </c>
      <c r="C11" s="236" t="s">
        <v>1853</v>
      </c>
      <c r="D11" s="52" t="b">
        <f>IF(OR(INDEX(WAS_ITE_CATEGORY,5,1)&lt;&gt;"",INDEX(WAS_ITE_TYPE,5,1)&lt;&gt;"",INDEX(WAS_ITE_TYPEDESCRI,5,1)&lt;&gt;"",INDEX(WAS_ITE_DELIVERED,5,1)&lt;&gt;"",INDEX(WAS_ITE_MAXSTORAG,5,1)&lt;&gt;"",INDEX(WAS_ITE_RETAINED,5,1)&lt;&gt;"",INDEX(WAS_ITE_REMAINING,5,1)&lt;&gt;"",INDEX(WAS_ITE_GENERATED,5,1)&lt;&gt;"",),IF(OR(INDEX(WAS_ITE_CATEGORY,5,1)="",INDEX(WAS_ITE_TYPE,5,1)="",INDEX(WAS_ITE_DELIVERED,5,1)="",INDEX(WAS_ITE_MAXSTORAG,5,1)="",INDEX(WAS_ITE_RETAINED,5,1)="",INDEX(WAS_ITE_GENERATED,5,1)="",INDEX(WAS_ITE_DELIVEREDU,5,1)="",INDEX(WAS_ITE_RETAINEDU,5,1)="",INDEX(WAS_ITE_GENERATEDU,5,1)="",INDEX(WAS_ITE_MAXSTORAGU,5,1)="",),FALSE,TRUE),TRUE)</f>
        <v>1</v>
      </c>
      <c r="E11" s="52" t="str">
        <f t="shared" si="0"/>
        <v>Row 5 - ‘Waste item’ information required</v>
      </c>
      <c r="F11" s="236" t="s">
        <v>1853</v>
      </c>
      <c r="G11" s="250" t="b">
        <f>IF(OR(INDEX(IHZ_HAZ_CONSIGNMENT,4,1)&lt;&gt;"",INDEX(IHZ_HAZ_TRANSDOCID,4,1)&lt;&gt;"",INDEX(IHZ_HAZ_PORTOFLOADING,4,1)&lt;&gt;"",INDEX(IHZ_HAZ_PORTOFDISCHARGE,4,1)&lt;&gt;"",INDEX(IHZ_HAZ_DPGREF,4,1)&lt;&gt;"",INDEX(IHZ_HAZ_DGCLASSIFI,4,1)&lt;&gt;"",INDEX(IHZ_HAZ_TEXTUALREF,4,1)&lt;&gt;"",INDEX(IHZ_HAZ_IMOHAZARDC,4,1)&lt;&gt;"",INDEX(IHZ_HAZ_UNNUMBER,4,1)&lt;&gt;"",INDEX(IHZ_HAZ_TOTAMOUNT,4,1)&lt;&gt;"",INDEX(IHZ_HAZ_PACKINGGRO,4,1)&lt;&gt;"",INDEX(IHZ_HAZ_FLASHPOINT,4,1)&lt;&gt;"",INDEX(IHZ_HAZ_MARPOLCODE,4,1)&lt;&gt;"",INDEX(IHZ_HAZ_PACTYPE,4,1)&lt;&gt;"",INDEX(IHZ_HAZ_TOTALPACKA,4,1)&lt;&gt;"",INDEX(IHZ_HAZ_ADDITIONAL,4,1)&lt;&gt;"",INDEX(IHZ_HAZ_EMS,4,1)&lt;&gt;"",INDEX(IHZ_HAZ_SUBSIDIARY,4,1)&lt;&gt;"",INDEX(IHZ_HAZ_UNITTYPE,4,1)&lt;&gt;"",INDEX(IHZ_HAZ_TEUID,4,1)&lt;&gt;"",INDEX(IHZ_HAZ_LOCATION,4,1)&lt;&gt;"",INDEX(IHZ_HAZ_PACKAGES,4,1)&lt;&gt;"",INDEX(IHZ_HAZ_AMOUNT,4,1)&lt;&gt;"",),IF(OR(INDEX(IHZ_HAZ_DGCLASSIFI,4,1)="",INDEX(IHZ_HAZ_TEXTUALREF,4,1)="",INDEX(IHZ_HAZ_TOTAMOUNT,4,1)="",INDEX(IHZ_HAZ_DPGREF,4,1)="",INDEX(IHZ_HAZ_CONSIGNMENT,4,1)="",),FALSE,TRUE),TRUE)</f>
        <v>1</v>
      </c>
      <c r="H11" s="237" t="str">
        <f t="shared" si="1"/>
        <v>Row 4 - All mandatory fields must be given</v>
      </c>
      <c r="I11" s="236" t="s">
        <v>1853</v>
      </c>
      <c r="J11" s="52" t="b">
        <f>IF(OR(INDEX(OHZ_HAZ_CONSIGNMENT,4,1)&lt;&gt;"",INDEX(OHZ_HAZ_TRANSDOCID,4,1)&lt;&gt;"",INDEX(OHZ_HAZ_PORTOFLOADING,4,1)&lt;&gt;"",INDEX(OHZ_HAZ_PORTOFDISCHARGE,4,1)&lt;&gt;"",INDEX(OHZ_HAZ_DPGREF,4,1)&lt;&gt;"",INDEX(OHZ_HAZ_DGCLASSIFI,4,1)&lt;&gt;"",INDEX(OHZ_HAZ_TEXTUALREF,4,1)&lt;&gt;"",INDEX(OHZ_HAZ_IMOHAZARDC,4,1)&lt;&gt;"",INDEX(OHZ_HAZ_UNNUMBER,4,1)&lt;&gt;"",INDEX(OHZ_HAZ_TOTAMOUNT,4,1)&lt;&gt;"",INDEX(OHZ_HAZ_PACKINGGRO,4,1)&lt;&gt;"",INDEX(OHZ_HAZ_FLASHPOINT,4,1)&lt;&gt;"",INDEX(OHZ_HAZ_MARPOLCODE,4,1)&lt;&gt;"",INDEX(OHZ_HAZ_PACTYPE,4,1)&lt;&gt;"",INDEX(OHZ_HAZ_TOTALPACKA,4,1)&lt;&gt;"",INDEX(OHZ_HAZ_ADDITIONAL,4,1)&lt;&gt;"",INDEX(OHZ_HAZ_EMS,4,1)&lt;&gt;"",INDEX(OHZ_HAZ_SUBSIDIARY,4,1)&lt;&gt;"",INDEX(OHZ_HAZ_UNITTYPE,4,1)&lt;&gt;"",INDEX(OHZ_HAZ_TEUID,4,1)&lt;&gt;"",INDEX(OHZ_HAZ_LOCATION,4,1)&lt;&gt;"",INDEX(OHZ_HAZ_PACKAGES,4,1)&lt;&gt;"",INDEX(OHZ_HAZ_AMOUNT,4,1)&lt;&gt;"",),IF(OR(INDEX(OHZ_HAZ_DGCLASSIFI,4,1)="",INDEX(OHZ_HAZ_TEXTUALREF,4,1)="",INDEX(OHZ_HAZ_TOTAMOUNT,4,1)="",INDEX(OHZ_HAZ_DPGREF,4,1)="",INDEX(OHZ_HAZ_CONSIGNMENT,4,1)="",),FALSE,TRUE),TRUE)</f>
        <v>1</v>
      </c>
      <c r="K11" s="237" t="str">
        <f t="shared" si="2"/>
        <v>Row 4 - All mandatory fields must be given</v>
      </c>
      <c r="L11" s="236" t="s">
        <v>1853</v>
      </c>
      <c r="M11" s="313" t="e">
        <f>OR(VES_VDE_REGPORT="Select port of registry from cell above…",COUNTIF(REF_LOCODES,VES_VDE_REGPORT))</f>
        <v>#NAME?</v>
      </c>
      <c r="N11" s="314" t="s">
        <v>1983</v>
      </c>
      <c r="P11" s="52" t="b">
        <f>NOT(AND(SUM_INCLUDE_OHZ="Include",OHZ_DET_HAZONBOARD="Yes",AND(VOY_VOY_NEXTPORT&lt;&gt;"ZZUKN",VOY_VOY_ETATONEXTP="")))</f>
        <v>1</v>
      </c>
      <c r="Q11" s="237" t="s">
        <v>1942</v>
      </c>
      <c r="T11" s="52" t="s">
        <v>2096</v>
      </c>
      <c r="V11" s="52"/>
    </row>
    <row r="12" spans="1:24">
      <c r="A12" s="52" t="b">
        <f>IF(SEC_ISSC_ISVALID=TRUE,SEC_ISSC_REASON="",TRUE)</f>
        <v>1</v>
      </c>
      <c r="B12" s="52" t="s">
        <v>1941</v>
      </c>
      <c r="C12" s="236" t="s">
        <v>1853</v>
      </c>
      <c r="D12" s="52" t="b">
        <f>IF(OR(INDEX(WAS_ITE_CATEGORY,6,1)&lt;&gt;"",INDEX(WAS_ITE_TYPE,6,1)&lt;&gt;"",INDEX(WAS_ITE_TYPEDESCRI,6,1)&lt;&gt;"",INDEX(WAS_ITE_DELIVERED,6,1)&lt;&gt;"",INDEX(WAS_ITE_MAXSTORAG,6,1)&lt;&gt;"",INDEX(WAS_ITE_RETAINED,6,1)&lt;&gt;"",INDEX(WAS_ITE_REMAINING,6,1)&lt;&gt;"",INDEX(WAS_ITE_GENERATED,6,1)&lt;&gt;"",),IF(OR(INDEX(WAS_ITE_CATEGORY,6,1)="",INDEX(WAS_ITE_TYPE,6,1)="",INDEX(WAS_ITE_DELIVERED,6,1)="",INDEX(WAS_ITE_MAXSTORAG,6,1)="",INDEX(WAS_ITE_RETAINED,6,1)="",INDEX(WAS_ITE_GENERATED,6,1)="",INDEX(WAS_ITE_DELIVEREDU,6,1)="",INDEX(WAS_ITE_RETAINEDU,6,1)="",INDEX(WAS_ITE_GENERATEDU,6,1)="",INDEX(WAS_ITE_MAXSTORAGU,6,1)="",),FALSE,TRUE),TRUE)</f>
        <v>1</v>
      </c>
      <c r="E12" s="52" t="str">
        <f t="shared" si="0"/>
        <v>Row 6 - ‘Waste item’ information required</v>
      </c>
      <c r="F12" s="236" t="s">
        <v>1853</v>
      </c>
      <c r="G12" s="250" t="b">
        <f>IF(OR(INDEX(IHZ_HAZ_CONSIGNMENT,5,1)&lt;&gt;"",INDEX(IHZ_HAZ_TRANSDOCID,5,1)&lt;&gt;"",INDEX(IHZ_HAZ_PORTOFLOADING,5,1)&lt;&gt;"",INDEX(IHZ_HAZ_PORTOFDISCHARGE,5,1)&lt;&gt;"",INDEX(IHZ_HAZ_DPGREF,5,1)&lt;&gt;"",INDEX(IHZ_HAZ_DGCLASSIFI,5,1)&lt;&gt;"",INDEX(IHZ_HAZ_TEXTUALREF,5,1)&lt;&gt;"",INDEX(IHZ_HAZ_IMOHAZARDC,5,1)&lt;&gt;"",INDEX(IHZ_HAZ_UNNUMBER,5,1)&lt;&gt;"",INDEX(IHZ_HAZ_TOTAMOUNT,5,1)&lt;&gt;"",INDEX(IHZ_HAZ_PACKINGGRO,5,1)&lt;&gt;"",INDEX(IHZ_HAZ_FLASHPOINT,5,1)&lt;&gt;"",INDEX(IHZ_HAZ_MARPOLCODE,5,1)&lt;&gt;"",INDEX(IHZ_HAZ_PACTYPE,5,1)&lt;&gt;"",INDEX(IHZ_HAZ_TOTALPACKA,5,1)&lt;&gt;"",INDEX(IHZ_HAZ_ADDITIONAL,5,1)&lt;&gt;"",INDEX(IHZ_HAZ_EMS,5,1)&lt;&gt;"",INDEX(IHZ_HAZ_SUBSIDIARY,5,1)&lt;&gt;"",INDEX(IHZ_HAZ_UNITTYPE,5,1)&lt;&gt;"",INDEX(IHZ_HAZ_TEUID,5,1)&lt;&gt;"",INDEX(IHZ_HAZ_LOCATION,5,1)&lt;&gt;"",INDEX(IHZ_HAZ_PACKAGES,5,1)&lt;&gt;"",INDEX(IHZ_HAZ_AMOUNT,5,1)&lt;&gt;"",),IF(OR(INDEX(IHZ_HAZ_DGCLASSIFI,5,1)="",INDEX(IHZ_HAZ_TEXTUALREF,5,1)="",INDEX(IHZ_HAZ_TOTAMOUNT,5,1)="",INDEX(IHZ_HAZ_DPGREF,5,1)="",INDEX(IHZ_HAZ_CONSIGNMENT,5,1)="",),FALSE,TRUE),TRUE)</f>
        <v>1</v>
      </c>
      <c r="H12" s="237" t="str">
        <f t="shared" si="1"/>
        <v>Row 5 - All mandatory fields must be given</v>
      </c>
      <c r="I12" s="236" t="s">
        <v>1853</v>
      </c>
      <c r="J12" s="52" t="b">
        <f>IF(OR(INDEX(OHZ_HAZ_CONSIGNMENT,5,1)&lt;&gt;"",INDEX(OHZ_HAZ_TRANSDOCID,5,1)&lt;&gt;"",INDEX(OHZ_HAZ_PORTOFLOADING,5,1)&lt;&gt;"",INDEX(OHZ_HAZ_PORTOFDISCHARGE,5,1)&lt;&gt;"",INDEX(OHZ_HAZ_DPGREF,5,1)&lt;&gt;"",INDEX(OHZ_HAZ_DGCLASSIFI,5,1)&lt;&gt;"",INDEX(OHZ_HAZ_TEXTUALREF,5,1)&lt;&gt;"",INDEX(OHZ_HAZ_IMOHAZARDC,5,1)&lt;&gt;"",INDEX(OHZ_HAZ_UNNUMBER,5,1)&lt;&gt;"",INDEX(OHZ_HAZ_TOTAMOUNT,5,1)&lt;&gt;"",INDEX(OHZ_HAZ_PACKINGGRO,5,1)&lt;&gt;"",INDEX(OHZ_HAZ_FLASHPOINT,5,1)&lt;&gt;"",INDEX(OHZ_HAZ_MARPOLCODE,5,1)&lt;&gt;"",INDEX(OHZ_HAZ_PACTYPE,5,1)&lt;&gt;"",INDEX(OHZ_HAZ_TOTALPACKA,5,1)&lt;&gt;"",INDEX(OHZ_HAZ_ADDITIONAL,5,1)&lt;&gt;"",INDEX(OHZ_HAZ_EMS,5,1)&lt;&gt;"",INDEX(OHZ_HAZ_SUBSIDIARY,5,1)&lt;&gt;"",INDEX(OHZ_HAZ_UNITTYPE,5,1)&lt;&gt;"",INDEX(OHZ_HAZ_TEUID,5,1)&lt;&gt;"",INDEX(OHZ_HAZ_LOCATION,5,1)&lt;&gt;"",INDEX(OHZ_HAZ_PACKAGES,5,1)&lt;&gt;"",INDEX(OHZ_HAZ_AMOUNT,5,1)&lt;&gt;"",),IF(OR(INDEX(OHZ_HAZ_DGCLASSIFI,5,1)="",INDEX(OHZ_HAZ_TEXTUALREF,5,1)="",INDEX(OHZ_HAZ_TOTAMOUNT,5,1)="",INDEX(OHZ_HAZ_DPGREF,5,1)="",INDEX(OHZ_HAZ_CONSIGNMENT,5,1)="",),FALSE,TRUE),TRUE)</f>
        <v>1</v>
      </c>
      <c r="K12" s="237" t="str">
        <f t="shared" si="2"/>
        <v>Row 5 - All mandatory fields must be given</v>
      </c>
      <c r="L12" s="236" t="s">
        <v>1853</v>
      </c>
      <c r="M12" s="313"/>
      <c r="N12" s="314"/>
      <c r="P12" s="313" t="b">
        <f>OR(VOY_VOY_PORTFACILI="",IF(ISNUMBER(TRIM(VOY_VOY_PORTFACILI)*1),AND(MOD(VOY_VOY_PORTFACILI,1)=0,LEN(VOY_VOY_PORTFACILI)=4),FALSE))</f>
        <v>1</v>
      </c>
      <c r="Q12" s="562" t="s">
        <v>2411</v>
      </c>
      <c r="T12" s="52" t="s">
        <v>2097</v>
      </c>
      <c r="V12" s="52"/>
    </row>
    <row r="13" spans="1:24">
      <c r="A13" s="52"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s="52" t="s">
        <v>1943</v>
      </c>
      <c r="C13" s="236" t="s">
        <v>1853</v>
      </c>
      <c r="D13" s="52" t="b">
        <f>IF(OR(INDEX(WAS_ITE_CATEGORY,7,1)&lt;&gt;"",INDEX(WAS_ITE_TYPE,7,1)&lt;&gt;"",INDEX(WAS_ITE_TYPEDESCRI,7,1)&lt;&gt;"",INDEX(WAS_ITE_DELIVERED,7,1)&lt;&gt;"",INDEX(WAS_ITE_MAXSTORAG,7,1)&lt;&gt;"",INDEX(WAS_ITE_RETAINED,7,1)&lt;&gt;"",INDEX(WAS_ITE_REMAINING,7,1)&lt;&gt;"",INDEX(WAS_ITE_GENERATED,7,1)&lt;&gt;"",),IF(OR(INDEX(WAS_ITE_CATEGORY,7,1)="",INDEX(WAS_ITE_TYPE,7,1)="",INDEX(WAS_ITE_DELIVERED,7,1)="",INDEX(WAS_ITE_MAXSTORAG,7,1)="",INDEX(WAS_ITE_RETAINED,7,1)="",INDEX(WAS_ITE_GENERATED,7,1)="",INDEX(WAS_ITE_DELIVEREDU,7,1)="",INDEX(WAS_ITE_RETAINEDU,7,1)="",INDEX(WAS_ITE_GENERATEDU,7,1)="",INDEX(WAS_ITE_MAXSTORAGU,7,1)="",),FALSE,TRUE),TRUE)</f>
        <v>1</v>
      </c>
      <c r="E13" s="52" t="str">
        <f t="shared" si="0"/>
        <v>Row 7 - ‘Waste item’ information required</v>
      </c>
      <c r="F13" s="236" t="s">
        <v>1853</v>
      </c>
      <c r="G13" s="250" t="b">
        <f>IF(OR(INDEX(IHZ_HAZ_CONSIGNMENT,6,1)&lt;&gt;"",INDEX(IHZ_HAZ_TRANSDOCID,6,1)&lt;&gt;"",INDEX(IHZ_HAZ_PORTOFLOADING,6,1)&lt;&gt;"",INDEX(IHZ_HAZ_PORTOFDISCHARGE,6,1)&lt;&gt;"",INDEX(IHZ_HAZ_DPGREF,6,1)&lt;&gt;"",INDEX(IHZ_HAZ_DGCLASSIFI,6,1)&lt;&gt;"",INDEX(IHZ_HAZ_TEXTUALREF,6,1)&lt;&gt;"",INDEX(IHZ_HAZ_IMOHAZARDC,6,1)&lt;&gt;"",INDEX(IHZ_HAZ_UNNUMBER,6,1)&lt;&gt;"",INDEX(IHZ_HAZ_TOTAMOUNT,6,1)&lt;&gt;"",INDEX(IHZ_HAZ_PACKINGGRO,6,1)&lt;&gt;"",INDEX(IHZ_HAZ_FLASHPOINT,6,1)&lt;&gt;"",INDEX(IHZ_HAZ_MARPOLCODE,6,1)&lt;&gt;"",INDEX(IHZ_HAZ_PACTYPE,6,1)&lt;&gt;"",INDEX(IHZ_HAZ_TOTALPACKA,6,1)&lt;&gt;"",INDEX(IHZ_HAZ_ADDITIONAL,6,1)&lt;&gt;"",INDEX(IHZ_HAZ_EMS,6,1)&lt;&gt;"",INDEX(IHZ_HAZ_SUBSIDIARY,6,1)&lt;&gt;"",INDEX(IHZ_HAZ_UNITTYPE,6,1)&lt;&gt;"",INDEX(IHZ_HAZ_TEUID,6,1)&lt;&gt;"",INDEX(IHZ_HAZ_LOCATION,6,1)&lt;&gt;"",INDEX(IHZ_HAZ_PACKAGES,6,1)&lt;&gt;"",INDEX(IHZ_HAZ_AMOUNT,6,1)&lt;&gt;"",),IF(OR(INDEX(IHZ_HAZ_DGCLASSIFI,6,1)="",INDEX(IHZ_HAZ_TEXTUALREF,6,1)="",INDEX(IHZ_HAZ_TOTAMOUNT,6,1)="",INDEX(IHZ_HAZ_DPGREF,6,1)="",INDEX(IHZ_HAZ_CONSIGNMENT,6,1)="",),FALSE,TRUE),TRUE)</f>
        <v>1</v>
      </c>
      <c r="H13" s="237" t="str">
        <f t="shared" si="1"/>
        <v>Row 6 - All mandatory fields must be given</v>
      </c>
      <c r="I13" s="236" t="s">
        <v>1853</v>
      </c>
      <c r="J13" s="52" t="b">
        <f>IF(OR(INDEX(OHZ_HAZ_CONSIGNMENT,6,1)&lt;&gt;"",INDEX(OHZ_HAZ_TRANSDOCID,6,1)&lt;&gt;"",INDEX(OHZ_HAZ_PORTOFLOADING,6,1)&lt;&gt;"",INDEX(OHZ_HAZ_PORTOFDISCHARGE,6,1)&lt;&gt;"",INDEX(OHZ_HAZ_DPGREF,6,1)&lt;&gt;"",INDEX(OHZ_HAZ_DGCLASSIFI,6,1)&lt;&gt;"",INDEX(OHZ_HAZ_TEXTUALREF,6,1)&lt;&gt;"",INDEX(OHZ_HAZ_IMOHAZARDC,6,1)&lt;&gt;"",INDEX(OHZ_HAZ_UNNUMBER,6,1)&lt;&gt;"",INDEX(OHZ_HAZ_TOTAMOUNT,6,1)&lt;&gt;"",INDEX(OHZ_HAZ_PACKINGGRO,6,1)&lt;&gt;"",INDEX(OHZ_HAZ_FLASHPOINT,6,1)&lt;&gt;"",INDEX(OHZ_HAZ_MARPOLCODE,6,1)&lt;&gt;"",INDEX(OHZ_HAZ_PACTYPE,6,1)&lt;&gt;"",INDEX(OHZ_HAZ_TOTALPACKA,6,1)&lt;&gt;"",INDEX(OHZ_HAZ_ADDITIONAL,6,1)&lt;&gt;"",INDEX(OHZ_HAZ_EMS,6,1)&lt;&gt;"",INDEX(OHZ_HAZ_SUBSIDIARY,6,1)&lt;&gt;"",INDEX(OHZ_HAZ_UNITTYPE,6,1)&lt;&gt;"",INDEX(OHZ_HAZ_TEUID,6,1)&lt;&gt;"",INDEX(OHZ_HAZ_LOCATION,6,1)&lt;&gt;"",INDEX(OHZ_HAZ_PACKAGES,6,1)&lt;&gt;"",INDEX(OHZ_HAZ_AMOUNT,6,1)&lt;&gt;"",),IF(OR(INDEX(OHZ_HAZ_DGCLASSIFI,6,1)="",INDEX(OHZ_HAZ_TEXTUALREF,6,1)="",INDEX(OHZ_HAZ_TOTAMOUNT,6,1)="",INDEX(OHZ_HAZ_DPGREF,6,1)="",INDEX(OHZ_HAZ_CONSIGNMENT,6,1)="",),FALSE,TRUE),TRUE)</f>
        <v>1</v>
      </c>
      <c r="K13" s="237" t="str">
        <f t="shared" si="2"/>
        <v>Row 6 - All mandatory fields must be given</v>
      </c>
      <c r="L13" s="236" t="s">
        <v>1853</v>
      </c>
      <c r="M13" s="313" t="b">
        <f>LEN(VES_REG_REGNUMBER)&lt;36</f>
        <v>1</v>
      </c>
      <c r="N13" s="313" t="s">
        <v>1984</v>
      </c>
      <c r="P13" s="313" t="b">
        <f>LEN(VOY_VOY_POSIINPORT)&lt;51</f>
        <v>1</v>
      </c>
      <c r="Q13" s="341" t="s">
        <v>2412</v>
      </c>
      <c r="R13" s="266"/>
      <c r="T13" s="52" t="s">
        <v>2098</v>
      </c>
      <c r="V13" s="52"/>
    </row>
    <row r="14" spans="1:24">
      <c r="A14" s="52"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s="52" t="s">
        <v>1944</v>
      </c>
      <c r="C14" s="236" t="s">
        <v>1853</v>
      </c>
      <c r="D14" s="52" t="b">
        <f>IF(OR(INDEX(WAS_ITE_CATEGORY,8,1)&lt;&gt;"",INDEX(WAS_ITE_TYPE,8,1)&lt;&gt;"",INDEX(WAS_ITE_TYPEDESCRI,8,1)&lt;&gt;"",INDEX(WAS_ITE_DELIVERED,8,1)&lt;&gt;"",INDEX(WAS_ITE_MAXSTORAG,8,1)&lt;&gt;"",INDEX(WAS_ITE_RETAINED,8,1)&lt;&gt;"",INDEX(WAS_ITE_REMAINING,8,1)&lt;&gt;"",INDEX(WAS_ITE_GENERATED,8,1)&lt;&gt;"",),IF(OR(INDEX(WAS_ITE_CATEGORY,8,1)="",INDEX(WAS_ITE_TYPE,8,1)="",INDEX(WAS_ITE_DELIVERED,8,1)="",INDEX(WAS_ITE_MAXSTORAG,8,1)="",INDEX(WAS_ITE_RETAINED,8,1)="",INDEX(WAS_ITE_GENERATED,8,1)="",INDEX(WAS_ITE_DELIVEREDU,8,1)="",INDEX(WAS_ITE_RETAINEDU,8,1)="",INDEX(WAS_ITE_GENERATEDU,8,1)="",INDEX(WAS_ITE_MAXSTORAGU,8,1)="",),FALSE,TRUE),TRUE)</f>
        <v>1</v>
      </c>
      <c r="E14" s="52" t="str">
        <f t="shared" si="0"/>
        <v>Row 8 - ‘Waste item’ information required</v>
      </c>
      <c r="F14" s="236" t="s">
        <v>1853</v>
      </c>
      <c r="G14" s="250" t="b">
        <f>IF(OR(INDEX(IHZ_HAZ_CONSIGNMENT,7,1)&lt;&gt;"",INDEX(IHZ_HAZ_TRANSDOCID,7,1)&lt;&gt;"",INDEX(IHZ_HAZ_PORTOFLOADING,7,1)&lt;&gt;"",INDEX(IHZ_HAZ_PORTOFDISCHARGE,7,1)&lt;&gt;"",INDEX(IHZ_HAZ_DPGREF,7,1)&lt;&gt;"",INDEX(IHZ_HAZ_DGCLASSIFI,7,1)&lt;&gt;"",INDEX(IHZ_HAZ_TEXTUALREF,7,1)&lt;&gt;"",INDEX(IHZ_HAZ_IMOHAZARDC,7,1)&lt;&gt;"",INDEX(IHZ_HAZ_UNNUMBER,7,1)&lt;&gt;"",INDEX(IHZ_HAZ_TOTAMOUNT,7,1)&lt;&gt;"",INDEX(IHZ_HAZ_PACKINGGRO,7,1)&lt;&gt;"",INDEX(IHZ_HAZ_FLASHPOINT,7,1)&lt;&gt;"",INDEX(IHZ_HAZ_MARPOLCODE,7,1)&lt;&gt;"",INDEX(IHZ_HAZ_PACTYPE,7,1)&lt;&gt;"",INDEX(IHZ_HAZ_TOTALPACKA,7,1)&lt;&gt;"",INDEX(IHZ_HAZ_ADDITIONAL,7,1)&lt;&gt;"",INDEX(IHZ_HAZ_EMS,7,1)&lt;&gt;"",INDEX(IHZ_HAZ_SUBSIDIARY,7,1)&lt;&gt;"",INDEX(IHZ_HAZ_UNITTYPE,7,1)&lt;&gt;"",INDEX(IHZ_HAZ_TEUID,7,1)&lt;&gt;"",INDEX(IHZ_HAZ_LOCATION,7,1)&lt;&gt;"",INDEX(IHZ_HAZ_PACKAGES,7,1)&lt;&gt;"",INDEX(IHZ_HAZ_AMOUNT,7,1)&lt;&gt;"",),IF(OR(INDEX(IHZ_HAZ_DGCLASSIFI,7,1)="",INDEX(IHZ_HAZ_TEXTUALREF,7,1)="",INDEX(IHZ_HAZ_TOTAMOUNT,7,1)="",INDEX(IHZ_HAZ_DPGREF,7,1)="",INDEX(IHZ_HAZ_CONSIGNMENT,7,1)="",),FALSE,TRUE),TRUE)</f>
        <v>1</v>
      </c>
      <c r="H14" s="237" t="str">
        <f t="shared" si="1"/>
        <v>Row 7 - All mandatory fields must be given</v>
      </c>
      <c r="I14" s="236" t="s">
        <v>1853</v>
      </c>
      <c r="J14" s="52" t="b">
        <f>IF(OR(INDEX(OHZ_HAZ_CONSIGNMENT,7,1)&lt;&gt;"",INDEX(OHZ_HAZ_TRANSDOCID,7,1)&lt;&gt;"",INDEX(OHZ_HAZ_PORTOFLOADING,7,1)&lt;&gt;"",INDEX(OHZ_HAZ_PORTOFDISCHARGE,7,1)&lt;&gt;"",INDEX(OHZ_HAZ_DPGREF,7,1)&lt;&gt;"",INDEX(OHZ_HAZ_DGCLASSIFI,7,1)&lt;&gt;"",INDEX(OHZ_HAZ_TEXTUALREF,7,1)&lt;&gt;"",INDEX(OHZ_HAZ_IMOHAZARDC,7,1)&lt;&gt;"",INDEX(OHZ_HAZ_UNNUMBER,7,1)&lt;&gt;"",INDEX(OHZ_HAZ_TOTAMOUNT,7,1)&lt;&gt;"",INDEX(OHZ_HAZ_PACKINGGRO,7,1)&lt;&gt;"",INDEX(OHZ_HAZ_FLASHPOINT,7,1)&lt;&gt;"",INDEX(OHZ_HAZ_MARPOLCODE,7,1)&lt;&gt;"",INDEX(OHZ_HAZ_PACTYPE,7,1)&lt;&gt;"",INDEX(OHZ_HAZ_TOTALPACKA,7,1)&lt;&gt;"",INDEX(OHZ_HAZ_ADDITIONAL,7,1)&lt;&gt;"",INDEX(OHZ_HAZ_EMS,7,1)&lt;&gt;"",INDEX(OHZ_HAZ_SUBSIDIARY,7,1)&lt;&gt;"",INDEX(OHZ_HAZ_UNITTYPE,7,1)&lt;&gt;"",INDEX(OHZ_HAZ_TEUID,7,1)&lt;&gt;"",INDEX(OHZ_HAZ_LOCATION,7,1)&lt;&gt;"",INDEX(OHZ_HAZ_PACKAGES,7,1)&lt;&gt;"",INDEX(OHZ_HAZ_AMOUNT,7,1)&lt;&gt;"",),IF(OR(INDEX(OHZ_HAZ_DGCLASSIFI,7,1)="",INDEX(OHZ_HAZ_TEXTUALREF,7,1)="",INDEX(OHZ_HAZ_TOTAMOUNT,7,1)="",INDEX(OHZ_HAZ_DPGREF,7,1)="",INDEX(OHZ_HAZ_CONSIGNMENT,7,1)="",),FALSE,TRUE),TRUE)</f>
        <v>1</v>
      </c>
      <c r="K14" s="237" t="str">
        <f t="shared" si="2"/>
        <v>Row 7 - All mandatory fields must be given</v>
      </c>
      <c r="L14" s="236" t="s">
        <v>1853</v>
      </c>
      <c r="M14" s="313" t="b">
        <f>LEN(VES_REG_REGCOMPNAM)&lt;71</f>
        <v>1</v>
      </c>
      <c r="N14" s="314" t="s">
        <v>1985</v>
      </c>
      <c r="P14" s="313"/>
      <c r="Q14" s="313"/>
      <c r="R14" s="266"/>
      <c r="T14" s="52" t="s">
        <v>2099</v>
      </c>
      <c r="V14" s="52"/>
    </row>
    <row r="15" spans="1:24">
      <c r="A15" s="52"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s="52" t="s">
        <v>1945</v>
      </c>
      <c r="C15" s="236" t="s">
        <v>1853</v>
      </c>
      <c r="D15" s="52" t="b">
        <f>IF(OR(INDEX(WAS_ITE_CATEGORY,9,1)&lt;&gt;"",INDEX(WAS_ITE_TYPE,9,1)&lt;&gt;"",INDEX(WAS_ITE_TYPEDESCRI,9,1)&lt;&gt;"",INDEX(WAS_ITE_DELIVERED,9,1)&lt;&gt;"",INDEX(WAS_ITE_MAXSTORAG,9,1)&lt;&gt;"",INDEX(WAS_ITE_RETAINED,9,1)&lt;&gt;"",INDEX(WAS_ITE_REMAINING,9,1)&lt;&gt;"",INDEX(WAS_ITE_GENERATED,9,1)&lt;&gt;"",),IF(OR(INDEX(WAS_ITE_CATEGORY,9,1)="",INDEX(WAS_ITE_TYPE,9,1)="",INDEX(WAS_ITE_DELIVERED,9,1)="",INDEX(WAS_ITE_MAXSTORAG,9,1)="",INDEX(WAS_ITE_RETAINED,9,1)="",INDEX(WAS_ITE_GENERATED,9,1)="",INDEX(WAS_ITE_DELIVEREDU,9,1)="",INDEX(WAS_ITE_RETAINEDU,9,1)="",INDEX(WAS_ITE_GENERATEDU,9,1)="",INDEX(WAS_ITE_MAXSTORAGU,9,1)="",),FALSE,TRUE),TRUE)</f>
        <v>1</v>
      </c>
      <c r="E15" s="52" t="str">
        <f t="shared" si="0"/>
        <v>Row 9 - ‘Waste item’ information required</v>
      </c>
      <c r="F15" s="236" t="s">
        <v>1853</v>
      </c>
      <c r="G15" s="250" t="b">
        <f>IF(OR(INDEX(IHZ_HAZ_CONSIGNMENT,8,1)&lt;&gt;"",INDEX(IHZ_HAZ_TRANSDOCID,8,1)&lt;&gt;"",INDEX(IHZ_HAZ_PORTOFLOADING,8,1)&lt;&gt;"",INDEX(IHZ_HAZ_PORTOFDISCHARGE,8,1)&lt;&gt;"",INDEX(IHZ_HAZ_DPGREF,8,1)&lt;&gt;"",INDEX(IHZ_HAZ_DGCLASSIFI,8,1)&lt;&gt;"",INDEX(IHZ_HAZ_TEXTUALREF,8,1)&lt;&gt;"",INDEX(IHZ_HAZ_IMOHAZARDC,8,1)&lt;&gt;"",INDEX(IHZ_HAZ_UNNUMBER,8,1)&lt;&gt;"",INDEX(IHZ_HAZ_TOTAMOUNT,8,1)&lt;&gt;"",INDEX(IHZ_HAZ_PACKINGGRO,8,1)&lt;&gt;"",INDEX(IHZ_HAZ_FLASHPOINT,8,1)&lt;&gt;"",INDEX(IHZ_HAZ_MARPOLCODE,8,1)&lt;&gt;"",INDEX(IHZ_HAZ_PACTYPE,8,1)&lt;&gt;"",INDEX(IHZ_HAZ_TOTALPACKA,8,1)&lt;&gt;"",INDEX(IHZ_HAZ_ADDITIONAL,8,1)&lt;&gt;"",INDEX(IHZ_HAZ_EMS,8,1)&lt;&gt;"",INDEX(IHZ_HAZ_SUBSIDIARY,8,1)&lt;&gt;"",INDEX(IHZ_HAZ_UNITTYPE,8,1)&lt;&gt;"",INDEX(IHZ_HAZ_TEUID,8,1)&lt;&gt;"",INDEX(IHZ_HAZ_LOCATION,8,1)&lt;&gt;"",INDEX(IHZ_HAZ_PACKAGES,8,1)&lt;&gt;"",INDEX(IHZ_HAZ_AMOUNT,8,1)&lt;&gt;"",),IF(OR(INDEX(IHZ_HAZ_DGCLASSIFI,8,1)="",INDEX(IHZ_HAZ_TEXTUALREF,8,1)="",INDEX(IHZ_HAZ_TOTAMOUNT,8,1)="",INDEX(IHZ_HAZ_DPGREF,8,1)="",INDEX(IHZ_HAZ_CONSIGNMENT,8,1)="",),FALSE,TRUE),TRUE)</f>
        <v>1</v>
      </c>
      <c r="H15" s="237" t="str">
        <f t="shared" si="1"/>
        <v>Row 8 - All mandatory fields must be given</v>
      </c>
      <c r="I15" s="236" t="s">
        <v>1853</v>
      </c>
      <c r="J15" s="52" t="b">
        <f>IF(OR(INDEX(OHZ_HAZ_CONSIGNMENT,8,1)&lt;&gt;"",INDEX(OHZ_HAZ_TRANSDOCID,8,1)&lt;&gt;"",INDEX(OHZ_HAZ_PORTOFLOADING,8,1)&lt;&gt;"",INDEX(OHZ_HAZ_PORTOFDISCHARGE,8,1)&lt;&gt;"",INDEX(OHZ_HAZ_DPGREF,8,1)&lt;&gt;"",INDEX(OHZ_HAZ_DGCLASSIFI,8,1)&lt;&gt;"",INDEX(OHZ_HAZ_TEXTUALREF,8,1)&lt;&gt;"",INDEX(OHZ_HAZ_IMOHAZARDC,8,1)&lt;&gt;"",INDEX(OHZ_HAZ_UNNUMBER,8,1)&lt;&gt;"",INDEX(OHZ_HAZ_TOTAMOUNT,8,1)&lt;&gt;"",INDEX(OHZ_HAZ_PACKINGGRO,8,1)&lt;&gt;"",INDEX(OHZ_HAZ_FLASHPOINT,8,1)&lt;&gt;"",INDEX(OHZ_HAZ_MARPOLCODE,8,1)&lt;&gt;"",INDEX(OHZ_HAZ_PACTYPE,8,1)&lt;&gt;"",INDEX(OHZ_HAZ_TOTALPACKA,8,1)&lt;&gt;"",INDEX(OHZ_HAZ_ADDITIONAL,8,1)&lt;&gt;"",INDEX(OHZ_HAZ_EMS,8,1)&lt;&gt;"",INDEX(OHZ_HAZ_SUBSIDIARY,8,1)&lt;&gt;"",INDEX(OHZ_HAZ_UNITTYPE,8,1)&lt;&gt;"",INDEX(OHZ_HAZ_TEUID,8,1)&lt;&gt;"",INDEX(OHZ_HAZ_LOCATION,8,1)&lt;&gt;"",INDEX(OHZ_HAZ_PACKAGES,8,1)&lt;&gt;"",INDEX(OHZ_HAZ_AMOUNT,8,1)&lt;&gt;"",),IF(OR(INDEX(OHZ_HAZ_DGCLASSIFI,8,1)="",INDEX(OHZ_HAZ_TEXTUALREF,8,1)="",INDEX(OHZ_HAZ_TOTAMOUNT,8,1)="",INDEX(OHZ_HAZ_DPGREF,8,1)="",INDEX(OHZ_HAZ_CONSIGNMENT,8,1)="",),FALSE,TRUE),TRUE)</f>
        <v>1</v>
      </c>
      <c r="K15" s="237" t="str">
        <f t="shared" si="2"/>
        <v>Row 8 - All mandatory fields must be given</v>
      </c>
      <c r="L15" s="236" t="s">
        <v>1853</v>
      </c>
      <c r="M15" s="313" t="b">
        <f>OR(LEN(VES_REG_REGCOMPIMO)=0,(LEN(VES_REG_REGCOMPIMO)=7))</f>
        <v>1</v>
      </c>
      <c r="N15" s="313" t="s">
        <v>1986</v>
      </c>
      <c r="P15" s="313"/>
      <c r="Q15" s="313"/>
      <c r="R15" s="266"/>
      <c r="T15" s="52" t="s">
        <v>2100</v>
      </c>
      <c r="V15" s="52"/>
    </row>
    <row r="16" spans="1:24">
      <c r="A16" s="52"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s="52" t="s">
        <v>1946</v>
      </c>
      <c r="C16" s="236" t="s">
        <v>1853</v>
      </c>
      <c r="D16" s="52" t="b">
        <f>IF(OR(INDEX(WAS_ITE_CATEGORY,10,1)&lt;&gt;"",INDEX(WAS_ITE_TYPE,10,1)&lt;&gt;"",INDEX(WAS_ITE_TYPEDESCRI,10,1)&lt;&gt;"",INDEX(WAS_ITE_DELIVERED,10,1)&lt;&gt;"",INDEX(WAS_ITE_MAXSTORAG,10,1)&lt;&gt;"",INDEX(WAS_ITE_RETAINED,10,1)&lt;&gt;"",INDEX(WAS_ITE_REMAINING,10,1)&lt;&gt;"",INDEX(WAS_ITE_GENERATED,10,1)&lt;&gt;"",),IF(OR(INDEX(WAS_ITE_CATEGORY,10,1)="",INDEX(WAS_ITE_TYPE,10,1)="",INDEX(WAS_ITE_DELIVERED,10,1)="",INDEX(WAS_ITE_MAXSTORAG,10,1)="",INDEX(WAS_ITE_RETAINED,10,1)="",INDEX(WAS_ITE_GENERATED,10,1)="",INDEX(WAS_ITE_DELIVEREDU,10,1)="",INDEX(WAS_ITE_RETAINEDU,10,1)="",INDEX(WAS_ITE_GENERATEDU,10,1)="",INDEX(WAS_ITE_MAXSTORAGU,10,1)="",),FALSE,TRUE),TRUE)</f>
        <v>1</v>
      </c>
      <c r="E16" s="52" t="str">
        <f t="shared" si="0"/>
        <v>Row 10 - ‘Waste item’ information required</v>
      </c>
      <c r="F16" s="236" t="s">
        <v>1853</v>
      </c>
      <c r="G16" s="250" t="b">
        <f>IF(OR(INDEX(IHZ_HAZ_CONSIGNMENT,9,1)&lt;&gt;"",INDEX(IHZ_HAZ_TRANSDOCID,9,1)&lt;&gt;"",INDEX(IHZ_HAZ_PORTOFLOADING,9,1)&lt;&gt;"",INDEX(IHZ_HAZ_PORTOFDISCHARGE,9,1)&lt;&gt;"",INDEX(IHZ_HAZ_DPGREF,9,1)&lt;&gt;"",INDEX(IHZ_HAZ_DGCLASSIFI,9,1)&lt;&gt;"",INDEX(IHZ_HAZ_TEXTUALREF,9,1)&lt;&gt;"",INDEX(IHZ_HAZ_IMOHAZARDC,9,1)&lt;&gt;"",INDEX(IHZ_HAZ_UNNUMBER,9,1)&lt;&gt;"",INDEX(IHZ_HAZ_TOTAMOUNT,9,1)&lt;&gt;"",INDEX(IHZ_HAZ_PACKINGGRO,9,1)&lt;&gt;"",INDEX(IHZ_HAZ_FLASHPOINT,9,1)&lt;&gt;"",INDEX(IHZ_HAZ_MARPOLCODE,9,1)&lt;&gt;"",INDEX(IHZ_HAZ_PACTYPE,9,1)&lt;&gt;"",INDEX(IHZ_HAZ_TOTALPACKA,9,1)&lt;&gt;"",INDEX(IHZ_HAZ_ADDITIONAL,9,1)&lt;&gt;"",INDEX(IHZ_HAZ_EMS,9,1)&lt;&gt;"",INDEX(IHZ_HAZ_SUBSIDIARY,9,1)&lt;&gt;"",INDEX(IHZ_HAZ_UNITTYPE,9,1)&lt;&gt;"",INDEX(IHZ_HAZ_TEUID,9,1)&lt;&gt;"",INDEX(IHZ_HAZ_LOCATION,9,1)&lt;&gt;"",INDEX(IHZ_HAZ_PACKAGES,9,1)&lt;&gt;"",INDEX(IHZ_HAZ_AMOUNT,9,1)&lt;&gt;"",),IF(OR(INDEX(IHZ_HAZ_DGCLASSIFI,9,1)="",INDEX(IHZ_HAZ_TEXTUALREF,9,1)="",INDEX(IHZ_HAZ_TOTAMOUNT,9,1)="",INDEX(IHZ_HAZ_DPGREF,9,1)="",INDEX(IHZ_HAZ_CONSIGNMENT,9,1)="",),FALSE,TRUE),TRUE)</f>
        <v>1</v>
      </c>
      <c r="H16" s="237" t="str">
        <f t="shared" si="1"/>
        <v>Row 9 - All mandatory fields must be given</v>
      </c>
      <c r="I16" s="236" t="s">
        <v>1853</v>
      </c>
      <c r="J16" s="52" t="b">
        <f>IF(OR(INDEX(OHZ_HAZ_CONSIGNMENT,9,1)&lt;&gt;"",INDEX(OHZ_HAZ_TRANSDOCID,9,1)&lt;&gt;"",INDEX(OHZ_HAZ_PORTOFLOADING,9,1)&lt;&gt;"",INDEX(OHZ_HAZ_PORTOFDISCHARGE,9,1)&lt;&gt;"",INDEX(OHZ_HAZ_DPGREF,9,1)&lt;&gt;"",INDEX(OHZ_HAZ_DGCLASSIFI,9,1)&lt;&gt;"",INDEX(OHZ_HAZ_TEXTUALREF,9,1)&lt;&gt;"",INDEX(OHZ_HAZ_IMOHAZARDC,9,1)&lt;&gt;"",INDEX(OHZ_HAZ_UNNUMBER,9,1)&lt;&gt;"",INDEX(OHZ_HAZ_TOTAMOUNT,9,1)&lt;&gt;"",INDEX(OHZ_HAZ_PACKINGGRO,9,1)&lt;&gt;"",INDEX(OHZ_HAZ_FLASHPOINT,9,1)&lt;&gt;"",INDEX(OHZ_HAZ_MARPOLCODE,9,1)&lt;&gt;"",INDEX(OHZ_HAZ_PACTYPE,9,1)&lt;&gt;"",INDEX(OHZ_HAZ_TOTALPACKA,9,1)&lt;&gt;"",INDEX(OHZ_HAZ_ADDITIONAL,9,1)&lt;&gt;"",INDEX(OHZ_HAZ_EMS,9,1)&lt;&gt;"",INDEX(OHZ_HAZ_SUBSIDIARY,9,1)&lt;&gt;"",INDEX(OHZ_HAZ_UNITTYPE,9,1)&lt;&gt;"",INDEX(OHZ_HAZ_TEUID,9,1)&lt;&gt;"",INDEX(OHZ_HAZ_LOCATION,9,1)&lt;&gt;"",INDEX(OHZ_HAZ_PACKAGES,9,1)&lt;&gt;"",INDEX(OHZ_HAZ_AMOUNT,9,1)&lt;&gt;"",),IF(OR(INDEX(OHZ_HAZ_DGCLASSIFI,9,1)="",INDEX(OHZ_HAZ_TEXTUALREF,9,1)="",INDEX(OHZ_HAZ_TOTAMOUNT,9,1)="",INDEX(OHZ_HAZ_DPGREF,9,1)="",INDEX(OHZ_HAZ_CONSIGNMENT,9,1)="",),FALSE,TRUE),TRUE)</f>
        <v>1</v>
      </c>
      <c r="K16" s="237" t="str">
        <f t="shared" si="2"/>
        <v>Row 9 - All mandatory fields must be given</v>
      </c>
      <c r="L16" s="236" t="s">
        <v>1853</v>
      </c>
      <c r="M16" s="313" t="b">
        <f>SUMPRODUCT(--(LEN(VES_INMARSAT)&gt;50))=0</f>
        <v>1</v>
      </c>
      <c r="N16" s="314" t="s">
        <v>1987</v>
      </c>
      <c r="P16" s="313"/>
      <c r="Q16" s="313"/>
      <c r="R16" s="266"/>
      <c r="T16" s="52" t="s">
        <v>2101</v>
      </c>
      <c r="V16" s="52"/>
    </row>
    <row r="17" spans="1:22">
      <c r="A17" s="52"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s="52" t="s">
        <v>1947</v>
      </c>
      <c r="C17" s="236" t="s">
        <v>1853</v>
      </c>
      <c r="D17" s="52" t="b">
        <f>IF(OR(INDEX(WAS_ITE_CATEGORY,11,1)&lt;&gt;"",INDEX(WAS_ITE_TYPE,11,1)&lt;&gt;"",INDEX(WAS_ITE_TYPEDESCRI,11,1)&lt;&gt;"",INDEX(WAS_ITE_DELIVERED,11,1)&lt;&gt;"",INDEX(WAS_ITE_MAXSTORAG,11,1)&lt;&gt;"",INDEX(WAS_ITE_RETAINED,11,1)&lt;&gt;"",INDEX(WAS_ITE_REMAINING,11,1)&lt;&gt;"",INDEX(WAS_ITE_GENERATED,11,1)&lt;&gt;"",),IF(OR(INDEX(WAS_ITE_CATEGORY,11,1)="",INDEX(WAS_ITE_TYPE,11,1)="",INDEX(WAS_ITE_DELIVERED,11,1)="",INDEX(WAS_ITE_MAXSTORAG,11,1)="",INDEX(WAS_ITE_RETAINED,11,1)="",INDEX(WAS_ITE_GENERATED,11,1)="",INDEX(WAS_ITE_DELIVEREDU,11,1)="",INDEX(WAS_ITE_RETAINEDU,11,1)="",INDEX(WAS_ITE_GENERATEDU,11,1)="",INDEX(WAS_ITE_MAXSTORAGU,11,1)="",),FALSE,TRUE),TRUE)</f>
        <v>1</v>
      </c>
      <c r="E17" s="52" t="str">
        <f t="shared" si="0"/>
        <v>Row 11 - ‘Waste item’ information required</v>
      </c>
      <c r="F17" s="236" t="s">
        <v>1853</v>
      </c>
      <c r="G17" s="250" t="b">
        <f>IF(OR(INDEX(IHZ_HAZ_CONSIGNMENT,10,1)&lt;&gt;"",INDEX(IHZ_HAZ_TRANSDOCID,10,1)&lt;&gt;"",INDEX(IHZ_HAZ_PORTOFLOADING,10,1)&lt;&gt;"",INDEX(IHZ_HAZ_PORTOFDISCHARGE,10,1)&lt;&gt;"",INDEX(IHZ_HAZ_DPGREF,10,1)&lt;&gt;"",INDEX(IHZ_HAZ_DGCLASSIFI,10,1)&lt;&gt;"",INDEX(IHZ_HAZ_TEXTUALREF,10,1)&lt;&gt;"",INDEX(IHZ_HAZ_IMOHAZARDC,10,1)&lt;&gt;"",INDEX(IHZ_HAZ_UNNUMBER,10,1)&lt;&gt;"",INDEX(IHZ_HAZ_TOTAMOUNT,10,1)&lt;&gt;"",INDEX(IHZ_HAZ_PACKINGGRO,10,1)&lt;&gt;"",INDEX(IHZ_HAZ_FLASHPOINT,10,1)&lt;&gt;"",INDEX(IHZ_HAZ_MARPOLCODE,10,1)&lt;&gt;"",INDEX(IHZ_HAZ_PACTYPE,10,1)&lt;&gt;"",INDEX(IHZ_HAZ_TOTALPACKA,10,1)&lt;&gt;"",INDEX(IHZ_HAZ_ADDITIONAL,10,1)&lt;&gt;"",INDEX(IHZ_HAZ_EMS,10,1)&lt;&gt;"",INDEX(IHZ_HAZ_SUBSIDIARY,10,1)&lt;&gt;"",INDEX(IHZ_HAZ_UNITTYPE,10,1)&lt;&gt;"",INDEX(IHZ_HAZ_TEUID,10,1)&lt;&gt;"",INDEX(IHZ_HAZ_LOCATION,10,1)&lt;&gt;"",INDEX(IHZ_HAZ_PACKAGES,10,1)&lt;&gt;"",INDEX(IHZ_HAZ_AMOUNT,10,1)&lt;&gt;"",),IF(OR(INDEX(IHZ_HAZ_DGCLASSIFI,10,1)="",INDEX(IHZ_HAZ_TEXTUALREF,10,1)="",INDEX(IHZ_HAZ_TOTAMOUNT,10,1)="",INDEX(IHZ_HAZ_DPGREF,10,1)="",INDEX(IHZ_HAZ_CONSIGNMENT,10,1)="",),FALSE,TRUE),TRUE)</f>
        <v>1</v>
      </c>
      <c r="H17" s="237" t="str">
        <f t="shared" si="1"/>
        <v>Row 10 - All mandatory fields must be given</v>
      </c>
      <c r="I17" s="236" t="s">
        <v>1853</v>
      </c>
      <c r="J17" s="52" t="b">
        <f>IF(OR(INDEX(OHZ_HAZ_CONSIGNMENT,10,1)&lt;&gt;"",INDEX(OHZ_HAZ_TRANSDOCID,10,1)&lt;&gt;"",INDEX(OHZ_HAZ_PORTOFLOADING,10,1)&lt;&gt;"",INDEX(OHZ_HAZ_PORTOFDISCHARGE,10,1)&lt;&gt;"",INDEX(OHZ_HAZ_DPGREF,10,1)&lt;&gt;"",INDEX(OHZ_HAZ_DGCLASSIFI,10,1)&lt;&gt;"",INDEX(OHZ_HAZ_TEXTUALREF,10,1)&lt;&gt;"",INDEX(OHZ_HAZ_IMOHAZARDC,10,1)&lt;&gt;"",INDEX(OHZ_HAZ_UNNUMBER,10,1)&lt;&gt;"",INDEX(OHZ_HAZ_TOTAMOUNT,10,1)&lt;&gt;"",INDEX(OHZ_HAZ_PACKINGGRO,10,1)&lt;&gt;"",INDEX(OHZ_HAZ_FLASHPOINT,10,1)&lt;&gt;"",INDEX(OHZ_HAZ_MARPOLCODE,10,1)&lt;&gt;"",INDEX(OHZ_HAZ_PACTYPE,10,1)&lt;&gt;"",INDEX(OHZ_HAZ_TOTALPACKA,10,1)&lt;&gt;"",INDEX(OHZ_HAZ_ADDITIONAL,10,1)&lt;&gt;"",INDEX(OHZ_HAZ_EMS,10,1)&lt;&gt;"",INDEX(OHZ_HAZ_SUBSIDIARY,10,1)&lt;&gt;"",INDEX(OHZ_HAZ_UNITTYPE,10,1)&lt;&gt;"",INDEX(OHZ_HAZ_TEUID,10,1)&lt;&gt;"",INDEX(OHZ_HAZ_LOCATION,10,1)&lt;&gt;"",INDEX(OHZ_HAZ_PACKAGES,10,1)&lt;&gt;"",INDEX(OHZ_HAZ_AMOUNT,10,1)&lt;&gt;"",),IF(OR(INDEX(OHZ_HAZ_DGCLASSIFI,10,1)="",INDEX(OHZ_HAZ_TEXTUALREF,10,1)="",INDEX(OHZ_HAZ_TOTAMOUNT,10,1)="",INDEX(OHZ_HAZ_DPGREF,10,1)="",INDEX(OHZ_HAZ_CONSIGNMENT,10,1)="",),FALSE,TRUE),TRUE)</f>
        <v>1</v>
      </c>
      <c r="K17" s="237" t="str">
        <f t="shared" si="2"/>
        <v>Row 10 - All mandatory fields must be given</v>
      </c>
      <c r="L17" s="236" t="s">
        <v>1853</v>
      </c>
      <c r="M17" s="52" t="b">
        <f>(COUNTIF(M18:M21,TRUE)&gt;1)</f>
        <v>0</v>
      </c>
      <c r="N17" s="237" t="s">
        <v>1922</v>
      </c>
      <c r="P17" s="313"/>
      <c r="Q17" s="313"/>
      <c r="T17" s="52" t="s">
        <v>2102</v>
      </c>
      <c r="V17" s="52"/>
    </row>
    <row r="18" spans="1:22">
      <c r="A18" s="52"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s="52" t="s">
        <v>1948</v>
      </c>
      <c r="C18" s="236" t="s">
        <v>1853</v>
      </c>
      <c r="D18" s="52" t="b">
        <f>IF(OR(INDEX(WAS_ITE_CATEGORY,12,1)&lt;&gt;"",INDEX(WAS_ITE_TYPE,12,1)&lt;&gt;"",INDEX(WAS_ITE_TYPEDESCRI,12,1)&lt;&gt;"",INDEX(WAS_ITE_DELIVERED,12,1)&lt;&gt;"",INDEX(WAS_ITE_MAXSTORAG,12,1)&lt;&gt;"",INDEX(WAS_ITE_RETAINED,12,1)&lt;&gt;"",INDEX(WAS_ITE_REMAINING,12,1)&lt;&gt;"",INDEX(WAS_ITE_GENERATED,12,1)&lt;&gt;"",),IF(OR(INDEX(WAS_ITE_CATEGORY,12,1)="",INDEX(WAS_ITE_TYPE,12,1)="",INDEX(WAS_ITE_DELIVERED,12,1)="",INDEX(WAS_ITE_MAXSTORAG,12,1)="",INDEX(WAS_ITE_RETAINED,12,1)="",INDEX(WAS_ITE_GENERATED,12,1)="",INDEX(WAS_ITE_DELIVEREDU,12,1)="",INDEX(WAS_ITE_RETAINEDU,12,1)="",INDEX(WAS_ITE_GENERATEDU,12,1)="",INDEX(WAS_ITE_MAXSTORAGU,12,1)="",),FALSE,TRUE),TRUE)</f>
        <v>1</v>
      </c>
      <c r="E18" s="52" t="str">
        <f t="shared" si="0"/>
        <v>Row 12 - ‘Waste item’ information required</v>
      </c>
      <c r="F18" s="236" t="s">
        <v>1853</v>
      </c>
      <c r="G18" s="250" t="b">
        <f>IF(OR(INDEX(IHZ_HAZ_CONSIGNMENT,11,1)&lt;&gt;"",INDEX(IHZ_HAZ_TRANSDOCID,11,1)&lt;&gt;"",INDEX(IHZ_HAZ_PORTOFLOADING,11,1)&lt;&gt;"",INDEX(IHZ_HAZ_PORTOFDISCHARGE,11,1)&lt;&gt;"",INDEX(IHZ_HAZ_DPGREF,11,1)&lt;&gt;"",INDEX(IHZ_HAZ_DGCLASSIFI,11,1)&lt;&gt;"",INDEX(IHZ_HAZ_TEXTUALREF,11,1)&lt;&gt;"",INDEX(IHZ_HAZ_IMOHAZARDC,11,1)&lt;&gt;"",INDEX(IHZ_HAZ_UNNUMBER,11,1)&lt;&gt;"",INDEX(IHZ_HAZ_TOTAMOUNT,11,1)&lt;&gt;"",INDEX(IHZ_HAZ_PACKINGGRO,11,1)&lt;&gt;"",INDEX(IHZ_HAZ_FLASHPOINT,11,1)&lt;&gt;"",INDEX(IHZ_HAZ_MARPOLCODE,11,1)&lt;&gt;"",INDEX(IHZ_HAZ_PACTYPE,11,1)&lt;&gt;"",INDEX(IHZ_HAZ_TOTALPACKA,11,1)&lt;&gt;"",INDEX(IHZ_HAZ_ADDITIONAL,11,1)&lt;&gt;"",INDEX(IHZ_HAZ_EMS,11,1)&lt;&gt;"",INDEX(IHZ_HAZ_SUBSIDIARY,11,1)&lt;&gt;"",INDEX(IHZ_HAZ_UNITTYPE,11,1)&lt;&gt;"",INDEX(IHZ_HAZ_TEUID,11,1)&lt;&gt;"",INDEX(IHZ_HAZ_LOCATION,11,1)&lt;&gt;"",INDEX(IHZ_HAZ_PACKAGES,11,1)&lt;&gt;"",INDEX(IHZ_HAZ_AMOUNT,11,1)&lt;&gt;"",),IF(OR(INDEX(IHZ_HAZ_DGCLASSIFI,11,1)="",INDEX(IHZ_HAZ_TEXTUALREF,11,1)="",INDEX(IHZ_HAZ_TOTAMOUNT,11,1)="",INDEX(IHZ_HAZ_DPGREF,11,1)="",INDEX(IHZ_HAZ_CONSIGNMENT,11,1)="",),FALSE,TRUE),TRUE)</f>
        <v>1</v>
      </c>
      <c r="H18" s="237" t="str">
        <f t="shared" si="1"/>
        <v>Row 11 - All mandatory fields must be given</v>
      </c>
      <c r="I18" s="236" t="s">
        <v>1853</v>
      </c>
      <c r="J18" s="52" t="b">
        <f>IF(OR(INDEX(OHZ_HAZ_CONSIGNMENT,11,1)&lt;&gt;"",INDEX(OHZ_HAZ_TRANSDOCID,11,1)&lt;&gt;"",INDEX(OHZ_HAZ_PORTOFLOADING,11,1)&lt;&gt;"",INDEX(OHZ_HAZ_PORTOFDISCHARGE,11,1)&lt;&gt;"",INDEX(OHZ_HAZ_DPGREF,11,1)&lt;&gt;"",INDEX(OHZ_HAZ_DGCLASSIFI,11,1)&lt;&gt;"",INDEX(OHZ_HAZ_TEXTUALREF,11,1)&lt;&gt;"",INDEX(OHZ_HAZ_IMOHAZARDC,11,1)&lt;&gt;"",INDEX(OHZ_HAZ_UNNUMBER,11,1)&lt;&gt;"",INDEX(OHZ_HAZ_TOTAMOUNT,11,1)&lt;&gt;"",INDEX(OHZ_HAZ_PACKINGGRO,11,1)&lt;&gt;"",INDEX(OHZ_HAZ_FLASHPOINT,11,1)&lt;&gt;"",INDEX(OHZ_HAZ_MARPOLCODE,11,1)&lt;&gt;"",INDEX(OHZ_HAZ_PACTYPE,11,1)&lt;&gt;"",INDEX(OHZ_HAZ_TOTALPACKA,11,1)&lt;&gt;"",INDEX(OHZ_HAZ_ADDITIONAL,11,1)&lt;&gt;"",INDEX(OHZ_HAZ_EMS,11,1)&lt;&gt;"",INDEX(OHZ_HAZ_SUBSIDIARY,11,1)&lt;&gt;"",INDEX(OHZ_HAZ_UNITTYPE,11,1)&lt;&gt;"",INDEX(OHZ_HAZ_TEUID,11,1)&lt;&gt;"",INDEX(OHZ_HAZ_LOCATION,11,1)&lt;&gt;"",INDEX(OHZ_HAZ_PACKAGES,11,1)&lt;&gt;"",INDEX(OHZ_HAZ_AMOUNT,11,1)&lt;&gt;"",),IF(OR(INDEX(OHZ_HAZ_DGCLASSIFI,11,1)="",INDEX(OHZ_HAZ_TEXTUALREF,11,1)="",INDEX(OHZ_HAZ_TOTAMOUNT,11,1)="",INDEX(OHZ_HAZ_DPGREF,11,1)="",INDEX(OHZ_HAZ_CONSIGNMENT,11,1)="",),FALSE,TRUE),TRUE)</f>
        <v>1</v>
      </c>
      <c r="K18" s="237" t="str">
        <f t="shared" si="2"/>
        <v>Row 11 - All mandatory fields must be given</v>
      </c>
      <c r="L18" s="236" t="s">
        <v>1853</v>
      </c>
      <c r="M18" s="52" t="b">
        <f>VES_VID_IMO&lt;&gt;""</f>
        <v>0</v>
      </c>
      <c r="N18" s="52" t="s">
        <v>1928</v>
      </c>
      <c r="P18" s="313" t="b">
        <f>LEN(VOY_VOY_BRIEFCARGO)&lt;256</f>
        <v>1</v>
      </c>
      <c r="Q18" s="313" t="s">
        <v>1988</v>
      </c>
      <c r="T18" s="52" t="s">
        <v>2103</v>
      </c>
      <c r="V18" s="52"/>
    </row>
    <row r="19" spans="1:22">
      <c r="A19" s="52"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s="52" t="s">
        <v>1949</v>
      </c>
      <c r="C19" s="236" t="s">
        <v>1853</v>
      </c>
      <c r="D19" s="52" t="b">
        <f>IF(OR(INDEX(WAS_ITE_CATEGORY,13,1)&lt;&gt;"",INDEX(WAS_ITE_TYPE,13,1)&lt;&gt;"",INDEX(WAS_ITE_TYPEDESCRI,13,1)&lt;&gt;"",INDEX(WAS_ITE_DELIVERED,13,1)&lt;&gt;"",INDEX(WAS_ITE_MAXSTORAG,13,1)&lt;&gt;"",INDEX(WAS_ITE_RETAINED,13,1)&lt;&gt;"",INDEX(WAS_ITE_REMAINING,13,1)&lt;&gt;"",INDEX(WAS_ITE_GENERATED,13,1)&lt;&gt;"",),IF(OR(INDEX(WAS_ITE_CATEGORY,13,1)="",INDEX(WAS_ITE_TYPE,13,1)="",INDEX(WAS_ITE_DELIVERED,13,1)="",INDEX(WAS_ITE_MAXSTORAG,13,1)="",INDEX(WAS_ITE_RETAINED,13,1)="",INDEX(WAS_ITE_GENERATED,13,1)="",INDEX(WAS_ITE_DELIVEREDU,13,1)="",INDEX(WAS_ITE_RETAINEDU,13,1)="",INDEX(WAS_ITE_GENERATEDU,13,1)="",INDEX(WAS_ITE_MAXSTORAGU,13,1)="",),FALSE,TRUE),TRUE)</f>
        <v>1</v>
      </c>
      <c r="E19" s="52" t="str">
        <f t="shared" si="0"/>
        <v>Row 13 - ‘Waste item’ information required</v>
      </c>
      <c r="F19" s="236" t="s">
        <v>1853</v>
      </c>
      <c r="G19" s="250" t="b">
        <f>IF(OR(INDEX(IHZ_HAZ_CONSIGNMENT,12,1)&lt;&gt;"",INDEX(IHZ_HAZ_TRANSDOCID,12,1)&lt;&gt;"",INDEX(IHZ_HAZ_PORTOFLOADING,12,1)&lt;&gt;"",INDEX(IHZ_HAZ_PORTOFDISCHARGE,12,1)&lt;&gt;"",INDEX(IHZ_HAZ_DPGREF,12,1)&lt;&gt;"",INDEX(IHZ_HAZ_DGCLASSIFI,12,1)&lt;&gt;"",INDEX(IHZ_HAZ_TEXTUALREF,12,1)&lt;&gt;"",INDEX(IHZ_HAZ_IMOHAZARDC,12,1)&lt;&gt;"",INDEX(IHZ_HAZ_UNNUMBER,12,1)&lt;&gt;"",INDEX(IHZ_HAZ_TOTAMOUNT,12,1)&lt;&gt;"",INDEX(IHZ_HAZ_PACKINGGRO,12,1)&lt;&gt;"",INDEX(IHZ_HAZ_FLASHPOINT,12,1)&lt;&gt;"",INDEX(IHZ_HAZ_MARPOLCODE,12,1)&lt;&gt;"",INDEX(IHZ_HAZ_PACTYPE,12,1)&lt;&gt;"",INDEX(IHZ_HAZ_TOTALPACKA,12,1)&lt;&gt;"",INDEX(IHZ_HAZ_ADDITIONAL,12,1)&lt;&gt;"",INDEX(IHZ_HAZ_EMS,12,1)&lt;&gt;"",INDEX(IHZ_HAZ_SUBSIDIARY,12,1)&lt;&gt;"",INDEX(IHZ_HAZ_UNITTYPE,12,1)&lt;&gt;"",INDEX(IHZ_HAZ_TEUID,12,1)&lt;&gt;"",INDEX(IHZ_HAZ_LOCATION,12,1)&lt;&gt;"",INDEX(IHZ_HAZ_PACKAGES,12,1)&lt;&gt;"",INDEX(IHZ_HAZ_AMOUNT,12,1)&lt;&gt;"",),IF(OR(INDEX(IHZ_HAZ_DGCLASSIFI,12,1)="",INDEX(IHZ_HAZ_TEXTUALREF,12,1)="",INDEX(IHZ_HAZ_TOTAMOUNT,12,1)="",INDEX(IHZ_HAZ_DPGREF,12,1)="",INDEX(IHZ_HAZ_CONSIGNMENT,12,1)="",),FALSE,TRUE),TRUE)</f>
        <v>1</v>
      </c>
      <c r="H19" s="237" t="str">
        <f t="shared" si="1"/>
        <v>Row 12 - All mandatory fields must be given</v>
      </c>
      <c r="I19" s="236" t="s">
        <v>1853</v>
      </c>
      <c r="J19" s="52" t="b">
        <f>IF(OR(INDEX(OHZ_HAZ_CONSIGNMENT,12,1)&lt;&gt;"",INDEX(OHZ_HAZ_TRANSDOCID,12,1)&lt;&gt;"",INDEX(OHZ_HAZ_PORTOFLOADING,12,1)&lt;&gt;"",INDEX(OHZ_HAZ_PORTOFDISCHARGE,12,1)&lt;&gt;"",INDEX(OHZ_HAZ_DPGREF,12,1)&lt;&gt;"",INDEX(OHZ_HAZ_DGCLASSIFI,12,1)&lt;&gt;"",INDEX(OHZ_HAZ_TEXTUALREF,12,1)&lt;&gt;"",INDEX(OHZ_HAZ_IMOHAZARDC,12,1)&lt;&gt;"",INDEX(OHZ_HAZ_UNNUMBER,12,1)&lt;&gt;"",INDEX(OHZ_HAZ_TOTAMOUNT,12,1)&lt;&gt;"",INDEX(OHZ_HAZ_PACKINGGRO,12,1)&lt;&gt;"",INDEX(OHZ_HAZ_FLASHPOINT,12,1)&lt;&gt;"",INDEX(OHZ_HAZ_MARPOLCODE,12,1)&lt;&gt;"",INDEX(OHZ_HAZ_PACTYPE,12,1)&lt;&gt;"",INDEX(OHZ_HAZ_TOTALPACKA,12,1)&lt;&gt;"",INDEX(OHZ_HAZ_ADDITIONAL,12,1)&lt;&gt;"",INDEX(OHZ_HAZ_EMS,12,1)&lt;&gt;"",INDEX(OHZ_HAZ_SUBSIDIARY,12,1)&lt;&gt;"",INDEX(OHZ_HAZ_UNITTYPE,12,1)&lt;&gt;"",INDEX(OHZ_HAZ_TEUID,12,1)&lt;&gt;"",INDEX(OHZ_HAZ_LOCATION,12,1)&lt;&gt;"",INDEX(OHZ_HAZ_PACKAGES,12,1)&lt;&gt;"",INDEX(OHZ_HAZ_AMOUNT,12,1)&lt;&gt;"",),IF(OR(INDEX(OHZ_HAZ_DGCLASSIFI,12,1)="",INDEX(OHZ_HAZ_TEXTUALREF,12,1)="",INDEX(OHZ_HAZ_TOTAMOUNT,12,1)="",INDEX(OHZ_HAZ_DPGREF,12,1)="",INDEX(OHZ_HAZ_CONSIGNMENT,12,1)="",),FALSE,TRUE),TRUE)</f>
        <v>1</v>
      </c>
      <c r="K19" s="237" t="str">
        <f t="shared" si="2"/>
        <v>Row 12 - All mandatory fields must be given</v>
      </c>
      <c r="L19" s="236" t="s">
        <v>1853</v>
      </c>
      <c r="M19" s="52" t="b">
        <f>VES_VID_SHIPNAME&lt;&gt;""</f>
        <v>0</v>
      </c>
      <c r="N19" s="52" t="s">
        <v>1931</v>
      </c>
      <c r="P19" s="313" t="b">
        <f>OR(AND(INT(VOY_DEP_POBNEXTPOC)=VOY_DEP_POBNEXTPOC,VOY_DEP_POBNEXTPOC&gt;0,VOY_POBPOC&lt;100000),VOY_DEP_POBNEXTPOC="")</f>
        <v>1</v>
      </c>
      <c r="Q19" s="313" t="s">
        <v>1989</v>
      </c>
      <c r="T19" s="52" t="s">
        <v>2104</v>
      </c>
      <c r="V19" s="52"/>
    </row>
    <row r="20" spans="1:22">
      <c r="A20" s="52"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s="52" t="s">
        <v>1950</v>
      </c>
      <c r="C20" s="236" t="s">
        <v>1853</v>
      </c>
      <c r="D20" s="52" t="b">
        <f>IF(OR(INDEX(WAS_ITE_CATEGORY,14,1)&lt;&gt;"",INDEX(WAS_ITE_TYPE,14,1)&lt;&gt;"",INDEX(WAS_ITE_TYPEDESCRI,14,1)&lt;&gt;"",INDEX(WAS_ITE_DELIVERED,14,1)&lt;&gt;"",INDEX(WAS_ITE_MAXSTORAG,14,1)&lt;&gt;"",INDEX(WAS_ITE_RETAINED,14,1)&lt;&gt;"",INDEX(WAS_ITE_REMAINING,14,1)&lt;&gt;"",INDEX(WAS_ITE_GENERATED,14,1)&lt;&gt;"",),IF(OR(INDEX(WAS_ITE_CATEGORY,14,1)="",INDEX(WAS_ITE_TYPE,14,1)="",INDEX(WAS_ITE_DELIVERED,14,1)="",INDEX(WAS_ITE_MAXSTORAG,14,1)="",INDEX(WAS_ITE_RETAINED,14,1)="",INDEX(WAS_ITE_GENERATED,14,1)="",INDEX(WAS_ITE_DELIVEREDU,14,1)="",INDEX(WAS_ITE_RETAINEDU,14,1)="",INDEX(WAS_ITE_GENERATEDU,14,1)="",INDEX(WAS_ITE_MAXSTORAGU,14,1)="",),FALSE,TRUE),TRUE)</f>
        <v>1</v>
      </c>
      <c r="E20" s="52" t="str">
        <f t="shared" si="0"/>
        <v>Row 14 - ‘Waste item’ information required</v>
      </c>
      <c r="F20" s="236" t="s">
        <v>1853</v>
      </c>
      <c r="G20" s="250" t="b">
        <f>IF(OR(INDEX(IHZ_HAZ_CONSIGNMENT,13,1)&lt;&gt;"",INDEX(IHZ_HAZ_TRANSDOCID,13,1)&lt;&gt;"",INDEX(IHZ_HAZ_PORTOFLOADING,13,1)&lt;&gt;"",INDEX(IHZ_HAZ_PORTOFDISCHARGE,13,1)&lt;&gt;"",INDEX(IHZ_HAZ_DPGREF,13,1)&lt;&gt;"",INDEX(IHZ_HAZ_DGCLASSIFI,13,1)&lt;&gt;"",INDEX(IHZ_HAZ_TEXTUALREF,13,1)&lt;&gt;"",INDEX(IHZ_HAZ_IMOHAZARDC,13,1)&lt;&gt;"",INDEX(IHZ_HAZ_UNNUMBER,13,1)&lt;&gt;"",INDEX(IHZ_HAZ_TOTAMOUNT,13,1)&lt;&gt;"",INDEX(IHZ_HAZ_PACKINGGRO,13,1)&lt;&gt;"",INDEX(IHZ_HAZ_FLASHPOINT,13,1)&lt;&gt;"",INDEX(IHZ_HAZ_MARPOLCODE,13,1)&lt;&gt;"",INDEX(IHZ_HAZ_PACTYPE,13,1)&lt;&gt;"",INDEX(IHZ_HAZ_TOTALPACKA,13,1)&lt;&gt;"",INDEX(IHZ_HAZ_ADDITIONAL,13,1)&lt;&gt;"",INDEX(IHZ_HAZ_EMS,13,1)&lt;&gt;"",INDEX(IHZ_HAZ_SUBSIDIARY,13,1)&lt;&gt;"",INDEX(IHZ_HAZ_UNITTYPE,13,1)&lt;&gt;"",INDEX(IHZ_HAZ_TEUID,13,1)&lt;&gt;"",INDEX(IHZ_HAZ_LOCATION,13,1)&lt;&gt;"",INDEX(IHZ_HAZ_PACKAGES,13,1)&lt;&gt;"",INDEX(IHZ_HAZ_AMOUNT,13,1)&lt;&gt;"",),IF(OR(INDEX(IHZ_HAZ_DGCLASSIFI,13,1)="",INDEX(IHZ_HAZ_TEXTUALREF,13,1)="",INDEX(IHZ_HAZ_TOTAMOUNT,13,1)="",INDEX(IHZ_HAZ_DPGREF,13,1)="",INDEX(IHZ_HAZ_CONSIGNMENT,13,1)="",),FALSE,TRUE),TRUE)</f>
        <v>1</v>
      </c>
      <c r="H20" s="237" t="str">
        <f t="shared" si="1"/>
        <v>Row 13 - All mandatory fields must be given</v>
      </c>
      <c r="I20" s="236" t="s">
        <v>1853</v>
      </c>
      <c r="J20" s="52" t="b">
        <f>IF(OR(INDEX(OHZ_HAZ_CONSIGNMENT,13,1)&lt;&gt;"",INDEX(OHZ_HAZ_TRANSDOCID,13,1)&lt;&gt;"",INDEX(OHZ_HAZ_PORTOFLOADING,13,1)&lt;&gt;"",INDEX(OHZ_HAZ_PORTOFDISCHARGE,13,1)&lt;&gt;"",INDEX(OHZ_HAZ_DPGREF,13,1)&lt;&gt;"",INDEX(OHZ_HAZ_DGCLASSIFI,13,1)&lt;&gt;"",INDEX(OHZ_HAZ_TEXTUALREF,13,1)&lt;&gt;"",INDEX(OHZ_HAZ_IMOHAZARDC,13,1)&lt;&gt;"",INDEX(OHZ_HAZ_UNNUMBER,13,1)&lt;&gt;"",INDEX(OHZ_HAZ_TOTAMOUNT,13,1)&lt;&gt;"",INDEX(OHZ_HAZ_PACKINGGRO,13,1)&lt;&gt;"",INDEX(OHZ_HAZ_FLASHPOINT,13,1)&lt;&gt;"",INDEX(OHZ_HAZ_MARPOLCODE,13,1)&lt;&gt;"",INDEX(OHZ_HAZ_PACTYPE,13,1)&lt;&gt;"",INDEX(OHZ_HAZ_TOTALPACKA,13,1)&lt;&gt;"",INDEX(OHZ_HAZ_ADDITIONAL,13,1)&lt;&gt;"",INDEX(OHZ_HAZ_EMS,13,1)&lt;&gt;"",INDEX(OHZ_HAZ_SUBSIDIARY,13,1)&lt;&gt;"",INDEX(OHZ_HAZ_UNITTYPE,13,1)&lt;&gt;"",INDEX(OHZ_HAZ_TEUID,13,1)&lt;&gt;"",INDEX(OHZ_HAZ_LOCATION,13,1)&lt;&gt;"",INDEX(OHZ_HAZ_PACKAGES,13,1)&lt;&gt;"",INDEX(OHZ_HAZ_AMOUNT,13,1)&lt;&gt;"",),IF(OR(INDEX(OHZ_HAZ_DGCLASSIFI,13,1)="",INDEX(OHZ_HAZ_TEXTUALREF,13,1)="",INDEX(OHZ_HAZ_TOTAMOUNT,13,1)="",INDEX(OHZ_HAZ_DPGREF,13,1)="",INDEX(OHZ_HAZ_CONSIGNMENT,13,1)="",),FALSE,TRUE),TRUE)</f>
        <v>1</v>
      </c>
      <c r="K20" s="237" t="str">
        <f t="shared" si="2"/>
        <v>Row 13 - All mandatory fields must be given</v>
      </c>
      <c r="L20" s="236" t="s">
        <v>1853</v>
      </c>
      <c r="M20" s="52" t="b">
        <f>VES_VID_CALLSIGN&lt;&gt;""</f>
        <v>0</v>
      </c>
      <c r="N20" s="52" t="s">
        <v>686</v>
      </c>
      <c r="P20" s="313"/>
      <c r="Q20" s="313"/>
      <c r="T20" s="52" t="s">
        <v>2105</v>
      </c>
      <c r="V20" s="240"/>
    </row>
    <row r="21" spans="1:22">
      <c r="A21" s="52"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s="52" t="s">
        <v>1951</v>
      </c>
      <c r="C21" s="236" t="s">
        <v>1853</v>
      </c>
      <c r="D21" s="52" t="b">
        <f>IF(OR(INDEX(WAS_ITE_CATEGORY,15,1)&lt;&gt;"",INDEX(WAS_ITE_TYPE,15,1)&lt;&gt;"",INDEX(WAS_ITE_TYPEDESCRI,15,1)&lt;&gt;"",INDEX(WAS_ITE_DELIVERED,15,1)&lt;&gt;"",INDEX(WAS_ITE_MAXSTORAG,15,1)&lt;&gt;"",INDEX(WAS_ITE_RETAINED,15,1)&lt;&gt;"",INDEX(WAS_ITE_REMAINING,15,1)&lt;&gt;"",INDEX(WAS_ITE_GENERATED,15,1)&lt;&gt;"",),IF(OR(INDEX(WAS_ITE_CATEGORY,15,1)="",INDEX(WAS_ITE_TYPE,15,1)="",INDEX(WAS_ITE_DELIVERED,15,1)="",INDEX(WAS_ITE_MAXSTORAG,15,1)="",INDEX(WAS_ITE_RETAINED,15,1)="",INDEX(WAS_ITE_GENERATED,15,1)="",INDEX(WAS_ITE_DELIVEREDU,15,1)="",INDEX(WAS_ITE_RETAINEDU,15,1)="",INDEX(WAS_ITE_GENERATEDU,15,1)="",INDEX(WAS_ITE_MAXSTORAGU,15,1)="",),FALSE,TRUE),TRUE)</f>
        <v>1</v>
      </c>
      <c r="E21" s="52" t="str">
        <f t="shared" si="0"/>
        <v>Row 15 - ‘Waste item’ information required</v>
      </c>
      <c r="F21" s="236" t="s">
        <v>1853</v>
      </c>
      <c r="G21" s="250" t="b">
        <f>IF(OR(INDEX(IHZ_HAZ_CONSIGNMENT,14,1)&lt;&gt;"",INDEX(IHZ_HAZ_TRANSDOCID,14,1)&lt;&gt;"",INDEX(IHZ_HAZ_PORTOFLOADING,14,1)&lt;&gt;"",INDEX(IHZ_HAZ_PORTOFDISCHARGE,14,1)&lt;&gt;"",INDEX(IHZ_HAZ_DPGREF,14,1)&lt;&gt;"",INDEX(IHZ_HAZ_DGCLASSIFI,14,1)&lt;&gt;"",INDEX(IHZ_HAZ_TEXTUALREF,14,1)&lt;&gt;"",INDEX(IHZ_HAZ_IMOHAZARDC,14,1)&lt;&gt;"",INDEX(IHZ_HAZ_UNNUMBER,14,1)&lt;&gt;"",INDEX(IHZ_HAZ_TOTAMOUNT,14,1)&lt;&gt;"",INDEX(IHZ_HAZ_PACKINGGRO,14,1)&lt;&gt;"",INDEX(IHZ_HAZ_FLASHPOINT,14,1)&lt;&gt;"",INDEX(IHZ_HAZ_MARPOLCODE,14,1)&lt;&gt;"",INDEX(IHZ_HAZ_PACTYPE,14,1)&lt;&gt;"",INDEX(IHZ_HAZ_TOTALPACKA,14,1)&lt;&gt;"",INDEX(IHZ_HAZ_ADDITIONAL,14,1)&lt;&gt;"",INDEX(IHZ_HAZ_EMS,14,1)&lt;&gt;"",INDEX(IHZ_HAZ_SUBSIDIARY,14,1)&lt;&gt;"",INDEX(IHZ_HAZ_UNITTYPE,14,1)&lt;&gt;"",INDEX(IHZ_HAZ_TEUID,14,1)&lt;&gt;"",INDEX(IHZ_HAZ_LOCATION,14,1)&lt;&gt;"",INDEX(IHZ_HAZ_PACKAGES,14,1)&lt;&gt;"",INDEX(IHZ_HAZ_AMOUNT,14,1)&lt;&gt;"",),IF(OR(INDEX(IHZ_HAZ_DGCLASSIFI,14,1)="",INDEX(IHZ_HAZ_TEXTUALREF,14,1)="",INDEX(IHZ_HAZ_TOTAMOUNT,14,1)="",INDEX(IHZ_HAZ_DPGREF,14,1)="",INDEX(IHZ_HAZ_CONSIGNMENT,14,1)="",),FALSE,TRUE),TRUE)</f>
        <v>1</v>
      </c>
      <c r="H21" s="237" t="str">
        <f t="shared" si="1"/>
        <v>Row 14 - All mandatory fields must be given</v>
      </c>
      <c r="I21" s="236" t="s">
        <v>1853</v>
      </c>
      <c r="J21" s="52" t="b">
        <f>IF(OR(INDEX(OHZ_HAZ_CONSIGNMENT,14,1)&lt;&gt;"",INDEX(OHZ_HAZ_TRANSDOCID,14,1)&lt;&gt;"",INDEX(OHZ_HAZ_PORTOFLOADING,14,1)&lt;&gt;"",INDEX(OHZ_HAZ_PORTOFDISCHARGE,14,1)&lt;&gt;"",INDEX(OHZ_HAZ_DPGREF,14,1)&lt;&gt;"",INDEX(OHZ_HAZ_DGCLASSIFI,14,1)&lt;&gt;"",INDEX(OHZ_HAZ_TEXTUALREF,14,1)&lt;&gt;"",INDEX(OHZ_HAZ_IMOHAZARDC,14,1)&lt;&gt;"",INDEX(OHZ_HAZ_UNNUMBER,14,1)&lt;&gt;"",INDEX(OHZ_HAZ_TOTAMOUNT,14,1)&lt;&gt;"",INDEX(OHZ_HAZ_PACKINGGRO,14,1)&lt;&gt;"",INDEX(OHZ_HAZ_FLASHPOINT,14,1)&lt;&gt;"",INDEX(OHZ_HAZ_MARPOLCODE,14,1)&lt;&gt;"",INDEX(OHZ_HAZ_PACTYPE,14,1)&lt;&gt;"",INDEX(OHZ_HAZ_TOTALPACKA,14,1)&lt;&gt;"",INDEX(OHZ_HAZ_ADDITIONAL,14,1)&lt;&gt;"",INDEX(OHZ_HAZ_EMS,14,1)&lt;&gt;"",INDEX(OHZ_HAZ_SUBSIDIARY,14,1)&lt;&gt;"",INDEX(OHZ_HAZ_UNITTYPE,14,1)&lt;&gt;"",INDEX(OHZ_HAZ_TEUID,14,1)&lt;&gt;"",INDEX(OHZ_HAZ_LOCATION,14,1)&lt;&gt;"",INDEX(OHZ_HAZ_PACKAGES,14,1)&lt;&gt;"",INDEX(OHZ_HAZ_AMOUNT,14,1)&lt;&gt;"",),IF(OR(INDEX(OHZ_HAZ_DGCLASSIFI,14,1)="",INDEX(OHZ_HAZ_TEXTUALREF,14,1)="",INDEX(OHZ_HAZ_TOTAMOUNT,14,1)="",INDEX(OHZ_HAZ_DPGREF,14,1)="",INDEX(OHZ_HAZ_CONSIGNMENT,14,1)="",),FALSE,TRUE),TRUE)</f>
        <v>1</v>
      </c>
      <c r="K21" s="237" t="str">
        <f t="shared" si="2"/>
        <v>Row 14 - All mandatory fields must be given</v>
      </c>
      <c r="L21" s="236" t="s">
        <v>1853</v>
      </c>
      <c r="M21" s="52" t="b">
        <f>VES_VID_MMSI&lt;&gt;""</f>
        <v>0</v>
      </c>
      <c r="N21" s="52" t="s">
        <v>8</v>
      </c>
      <c r="P21" s="313" t="b">
        <f>OR((COUNTIF(REF_YES_NO,VOY_ARR_ANCHORAGE))=1,VOY_ARR_ANCHORAGE="")</f>
        <v>1</v>
      </c>
      <c r="Q21" s="313" t="s">
        <v>1990</v>
      </c>
      <c r="T21" s="52" t="s">
        <v>2106</v>
      </c>
      <c r="V21" s="52"/>
    </row>
    <row r="22" spans="1:22">
      <c r="A22" s="5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s="52" t="s">
        <v>1952</v>
      </c>
      <c r="C22" s="236" t="s">
        <v>1853</v>
      </c>
      <c r="D22" s="52" t="b">
        <f>IF(OR(INDEX(WAS_ITE_CATEGORY,16,1)&lt;&gt;"",INDEX(WAS_ITE_TYPE,16,1)&lt;&gt;"",INDEX(WAS_ITE_TYPEDESCRI,16,1)&lt;&gt;"",INDEX(WAS_ITE_DELIVERED,16,1)&lt;&gt;"",INDEX(WAS_ITE_MAXSTORAG,16,1)&lt;&gt;"",INDEX(WAS_ITE_RETAINED,16,1)&lt;&gt;"",INDEX(WAS_ITE_REMAINING,16,1)&lt;&gt;"",INDEX(WAS_ITE_GENERATED,16,1)&lt;&gt;"",),IF(OR(INDEX(WAS_ITE_CATEGORY,16,1)="",INDEX(WAS_ITE_TYPE,16,1)="",INDEX(WAS_ITE_DELIVERED,16,1)="",INDEX(WAS_ITE_MAXSTORAG,16,1)="",INDEX(WAS_ITE_RETAINED,16,1)="",INDEX(WAS_ITE_GENERATED,16,1)="",INDEX(WAS_ITE_DELIVEREDU,16,1)="",INDEX(WAS_ITE_RETAINEDU,16,1)="",INDEX(WAS_ITE_GENERATEDU,16,1)="",INDEX(WAS_ITE_MAXSTORAGU,16,1)="",),FALSE,TRUE),TRUE)</f>
        <v>1</v>
      </c>
      <c r="E22" s="52" t="str">
        <f t="shared" si="0"/>
        <v>Row 16 - ‘Waste item’ information required</v>
      </c>
      <c r="F22" s="236" t="s">
        <v>1853</v>
      </c>
      <c r="G22" s="250" t="b">
        <f>IF(OR(INDEX(IHZ_HAZ_CONSIGNMENT,15,1)&lt;&gt;"",INDEX(IHZ_HAZ_TRANSDOCID,15,1)&lt;&gt;"",INDEX(IHZ_HAZ_PORTOFLOADING,15,1)&lt;&gt;"",INDEX(IHZ_HAZ_PORTOFDISCHARGE,15,1)&lt;&gt;"",INDEX(IHZ_HAZ_DPGREF,15,1)&lt;&gt;"",INDEX(IHZ_HAZ_DGCLASSIFI,15,1)&lt;&gt;"",INDEX(IHZ_HAZ_TEXTUALREF,15,1)&lt;&gt;"",INDEX(IHZ_HAZ_IMOHAZARDC,15,1)&lt;&gt;"",INDEX(IHZ_HAZ_UNNUMBER,15,1)&lt;&gt;"",INDEX(IHZ_HAZ_TOTAMOUNT,15,1)&lt;&gt;"",INDEX(IHZ_HAZ_PACKINGGRO,15,1)&lt;&gt;"",INDEX(IHZ_HAZ_FLASHPOINT,15,1)&lt;&gt;"",INDEX(IHZ_HAZ_MARPOLCODE,15,1)&lt;&gt;"",INDEX(IHZ_HAZ_PACTYPE,15,1)&lt;&gt;"",INDEX(IHZ_HAZ_TOTALPACKA,15,1)&lt;&gt;"",INDEX(IHZ_HAZ_ADDITIONAL,15,1)&lt;&gt;"",INDEX(IHZ_HAZ_EMS,15,1)&lt;&gt;"",INDEX(IHZ_HAZ_SUBSIDIARY,15,1)&lt;&gt;"",INDEX(IHZ_HAZ_UNITTYPE,15,1)&lt;&gt;"",INDEX(IHZ_HAZ_TEUID,15,1)&lt;&gt;"",INDEX(IHZ_HAZ_LOCATION,15,1)&lt;&gt;"",INDEX(IHZ_HAZ_PACKAGES,15,1)&lt;&gt;"",INDEX(IHZ_HAZ_AMOUNT,15,1)&lt;&gt;"",),IF(OR(INDEX(IHZ_HAZ_DGCLASSIFI,15,1)="",INDEX(IHZ_HAZ_TEXTUALREF,15,1)="",INDEX(IHZ_HAZ_TOTAMOUNT,15,1)="",INDEX(IHZ_HAZ_DPGREF,15,1)="",INDEX(IHZ_HAZ_CONSIGNMENT,15,1)="",),FALSE,TRUE),TRUE)</f>
        <v>1</v>
      </c>
      <c r="H22" s="237" t="str">
        <f t="shared" si="1"/>
        <v>Row 15 - All mandatory fields must be given</v>
      </c>
      <c r="I22" s="236" t="s">
        <v>1853</v>
      </c>
      <c r="J22" s="52" t="b">
        <f>IF(OR(INDEX(OHZ_HAZ_CONSIGNMENT,15,1)&lt;&gt;"",INDEX(OHZ_HAZ_TRANSDOCID,15,1)&lt;&gt;"",INDEX(OHZ_HAZ_PORTOFLOADING,15,1)&lt;&gt;"",INDEX(OHZ_HAZ_PORTOFDISCHARGE,15,1)&lt;&gt;"",INDEX(OHZ_HAZ_DPGREF,15,1)&lt;&gt;"",INDEX(OHZ_HAZ_DGCLASSIFI,15,1)&lt;&gt;"",INDEX(OHZ_HAZ_TEXTUALREF,15,1)&lt;&gt;"",INDEX(OHZ_HAZ_IMOHAZARDC,15,1)&lt;&gt;"",INDEX(OHZ_HAZ_UNNUMBER,15,1)&lt;&gt;"",INDEX(OHZ_HAZ_TOTAMOUNT,15,1)&lt;&gt;"",INDEX(OHZ_HAZ_PACKINGGRO,15,1)&lt;&gt;"",INDEX(OHZ_HAZ_FLASHPOINT,15,1)&lt;&gt;"",INDEX(OHZ_HAZ_MARPOLCODE,15,1)&lt;&gt;"",INDEX(OHZ_HAZ_PACTYPE,15,1)&lt;&gt;"",INDEX(OHZ_HAZ_TOTALPACKA,15,1)&lt;&gt;"",INDEX(OHZ_HAZ_ADDITIONAL,15,1)&lt;&gt;"",INDEX(OHZ_HAZ_EMS,15,1)&lt;&gt;"",INDEX(OHZ_HAZ_SUBSIDIARY,15,1)&lt;&gt;"",INDEX(OHZ_HAZ_UNITTYPE,15,1)&lt;&gt;"",INDEX(OHZ_HAZ_TEUID,15,1)&lt;&gt;"",INDEX(OHZ_HAZ_LOCATION,15,1)&lt;&gt;"",INDEX(OHZ_HAZ_PACKAGES,15,1)&lt;&gt;"",INDEX(OHZ_HAZ_AMOUNT,15,1)&lt;&gt;"",),IF(OR(INDEX(OHZ_HAZ_DGCLASSIFI,15,1)="",INDEX(OHZ_HAZ_TEXTUALREF,15,1)="",INDEX(OHZ_HAZ_TOTAMOUNT,15,1)="",INDEX(OHZ_HAZ_DPGREF,15,1)="",INDEX(OHZ_HAZ_CONSIGNMENT,15,1)="",),FALSE,TRUE),TRUE)</f>
        <v>1</v>
      </c>
      <c r="K22" s="237" t="str">
        <f t="shared" si="2"/>
        <v>Row 15 - All mandatory fields must be given</v>
      </c>
      <c r="L22" s="236" t="s">
        <v>1853</v>
      </c>
      <c r="P22" s="313"/>
      <c r="Q22" s="313"/>
      <c r="S22" s="52"/>
      <c r="T22" s="52" t="s">
        <v>2107</v>
      </c>
      <c r="V22" s="52"/>
    </row>
    <row r="23" spans="1:22">
      <c r="A23" s="52"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s="52" t="s">
        <v>1953</v>
      </c>
      <c r="C23" s="236" t="s">
        <v>1853</v>
      </c>
      <c r="D23" s="52" t="b">
        <f>IF(OR(INDEX(WAS_ITE_CATEGORY,17,1)&lt;&gt;"",INDEX(WAS_ITE_TYPE,17,1)&lt;&gt;"",INDEX(WAS_ITE_TYPEDESCRI,17,1)&lt;&gt;"",INDEX(WAS_ITE_DELIVERED,17,1)&lt;&gt;"",INDEX(WAS_ITE_MAXSTORAG,17,1)&lt;&gt;"",INDEX(WAS_ITE_RETAINED,17,1)&lt;&gt;"",INDEX(WAS_ITE_REMAINING,17,1)&lt;&gt;"",INDEX(WAS_ITE_GENERATED,17,1)&lt;&gt;"",),IF(OR(INDEX(WAS_ITE_CATEGORY,17,1)="",INDEX(WAS_ITE_TYPE,17,1)="",INDEX(WAS_ITE_DELIVERED,17,1)="",INDEX(WAS_ITE_MAXSTORAG,17,1)="",INDEX(WAS_ITE_RETAINED,17,1)="",INDEX(WAS_ITE_GENERATED,17,1)="",INDEX(WAS_ITE_DELIVEREDU,17,1)="",INDEX(WAS_ITE_RETAINEDU,17,1)="",INDEX(WAS_ITE_GENERATEDU,17,1)="",INDEX(WAS_ITE_MAXSTORAGU,17,1)="",),FALSE,TRUE),TRUE)</f>
        <v>1</v>
      </c>
      <c r="E23" s="52" t="str">
        <f t="shared" si="0"/>
        <v>Row 17 - ‘Waste item’ information required</v>
      </c>
      <c r="F23" s="236" t="s">
        <v>1853</v>
      </c>
      <c r="G23" s="250" t="b">
        <f>IF(OR(INDEX(IHZ_HAZ_CONSIGNMENT,16,1)&lt;&gt;"",INDEX(IHZ_HAZ_TRANSDOCID,16,1)&lt;&gt;"",INDEX(IHZ_HAZ_PORTOFLOADING,16,1)&lt;&gt;"",INDEX(IHZ_HAZ_PORTOFDISCHARGE,16,1)&lt;&gt;"",INDEX(IHZ_HAZ_DPGREF,16,1)&lt;&gt;"",INDEX(IHZ_HAZ_DGCLASSIFI,16,1)&lt;&gt;"",INDEX(IHZ_HAZ_TEXTUALREF,16,1)&lt;&gt;"",INDEX(IHZ_HAZ_IMOHAZARDC,16,1)&lt;&gt;"",INDEX(IHZ_HAZ_UNNUMBER,16,1)&lt;&gt;"",INDEX(IHZ_HAZ_TOTAMOUNT,16,1)&lt;&gt;"",INDEX(IHZ_HAZ_PACKINGGRO,16,1)&lt;&gt;"",INDEX(IHZ_HAZ_FLASHPOINT,16,1)&lt;&gt;"",INDEX(IHZ_HAZ_MARPOLCODE,16,1)&lt;&gt;"",INDEX(IHZ_HAZ_PACTYPE,16,1)&lt;&gt;"",INDEX(IHZ_HAZ_TOTALPACKA,16,1)&lt;&gt;"",INDEX(IHZ_HAZ_ADDITIONAL,16,1)&lt;&gt;"",INDEX(IHZ_HAZ_EMS,16,1)&lt;&gt;"",INDEX(IHZ_HAZ_SUBSIDIARY,16,1)&lt;&gt;"",INDEX(IHZ_HAZ_UNITTYPE,16,1)&lt;&gt;"",INDEX(IHZ_HAZ_TEUID,16,1)&lt;&gt;"",INDEX(IHZ_HAZ_LOCATION,16,1)&lt;&gt;"",INDEX(IHZ_HAZ_PACKAGES,16,1)&lt;&gt;"",INDEX(IHZ_HAZ_AMOUNT,16,1)&lt;&gt;"",),IF(OR(INDEX(IHZ_HAZ_DGCLASSIFI,16,1)="",INDEX(IHZ_HAZ_TEXTUALREF,16,1)="",INDEX(IHZ_HAZ_TOTAMOUNT,16,1)="",INDEX(IHZ_HAZ_DPGREF,16,1)="",INDEX(IHZ_HAZ_CONSIGNMENT,16,1)="",),FALSE,TRUE),TRUE)</f>
        <v>1</v>
      </c>
      <c r="H23" s="237" t="str">
        <f t="shared" si="1"/>
        <v>Row 16 - All mandatory fields must be given</v>
      </c>
      <c r="I23" s="236" t="s">
        <v>1853</v>
      </c>
      <c r="J23" s="52" t="b">
        <f>IF(OR(INDEX(OHZ_HAZ_CONSIGNMENT,16,1)&lt;&gt;"",INDEX(OHZ_HAZ_TRANSDOCID,16,1)&lt;&gt;"",INDEX(OHZ_HAZ_PORTOFLOADING,16,1)&lt;&gt;"",INDEX(OHZ_HAZ_PORTOFDISCHARGE,16,1)&lt;&gt;"",INDEX(OHZ_HAZ_DPGREF,16,1)&lt;&gt;"",INDEX(OHZ_HAZ_DGCLASSIFI,16,1)&lt;&gt;"",INDEX(OHZ_HAZ_TEXTUALREF,16,1)&lt;&gt;"",INDEX(OHZ_HAZ_IMOHAZARDC,16,1)&lt;&gt;"",INDEX(OHZ_HAZ_UNNUMBER,16,1)&lt;&gt;"",INDEX(OHZ_HAZ_TOTAMOUNT,16,1)&lt;&gt;"",INDEX(OHZ_HAZ_PACKINGGRO,16,1)&lt;&gt;"",INDEX(OHZ_HAZ_FLASHPOINT,16,1)&lt;&gt;"",INDEX(OHZ_HAZ_MARPOLCODE,16,1)&lt;&gt;"",INDEX(OHZ_HAZ_PACTYPE,16,1)&lt;&gt;"",INDEX(OHZ_HAZ_TOTALPACKA,16,1)&lt;&gt;"",INDEX(OHZ_HAZ_ADDITIONAL,16,1)&lt;&gt;"",INDEX(OHZ_HAZ_EMS,16,1)&lt;&gt;"",INDEX(OHZ_HAZ_SUBSIDIARY,16,1)&lt;&gt;"",INDEX(OHZ_HAZ_UNITTYPE,16,1)&lt;&gt;"",INDEX(OHZ_HAZ_TEUID,16,1)&lt;&gt;"",INDEX(OHZ_HAZ_LOCATION,16,1)&lt;&gt;"",INDEX(OHZ_HAZ_PACKAGES,16,1)&lt;&gt;"",INDEX(OHZ_HAZ_AMOUNT,16,1)&lt;&gt;"",),IF(OR(INDEX(OHZ_HAZ_DGCLASSIFI,16,1)="",INDEX(OHZ_HAZ_TEXTUALREF,16,1)="",INDEX(OHZ_HAZ_TOTAMOUNT,16,1)="",INDEX(OHZ_HAZ_DPGREF,16,1)="",INDEX(OHZ_HAZ_CONSIGNMENT,16,1)="",),FALSE,TRUE),TRUE)</f>
        <v>1</v>
      </c>
      <c r="K23" s="237" t="str">
        <f t="shared" si="2"/>
        <v>Row 16 - All mandatory fields must be given</v>
      </c>
      <c r="L23" s="236" t="s">
        <v>1853</v>
      </c>
      <c r="O23" s="236" t="s">
        <v>1853</v>
      </c>
      <c r="P23" s="313" t="b">
        <f>OR(AND(INT(VOY_POBPOC)=VOY_POBPOC,VOY_POBPOC&gt;0,VOY_POBPOC&lt;100000),VOY_POBPOC="")</f>
        <v>1</v>
      </c>
      <c r="Q23" s="313" t="s">
        <v>1991</v>
      </c>
      <c r="R23" s="52"/>
      <c r="S23" s="52"/>
      <c r="T23" s="52" t="s">
        <v>2108</v>
      </c>
      <c r="V23" s="52"/>
    </row>
    <row r="24" spans="1:22">
      <c r="A24" s="52"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s="52" t="s">
        <v>1954</v>
      </c>
      <c r="C24" s="236" t="s">
        <v>1853</v>
      </c>
      <c r="D24" s="52" t="b">
        <f>IF(OR(INDEX(WAS_ITE_CATEGORY,18,1)&lt;&gt;"",INDEX(WAS_ITE_TYPE,18,1)&lt;&gt;"",INDEX(WAS_ITE_TYPEDESCRI,18,1)&lt;&gt;"",INDEX(WAS_ITE_DELIVERED,18,1)&lt;&gt;"",INDEX(WAS_ITE_MAXSTORAG,18,1)&lt;&gt;"",INDEX(WAS_ITE_RETAINED,18,1)&lt;&gt;"",INDEX(WAS_ITE_REMAINING,18,1)&lt;&gt;"",INDEX(WAS_ITE_GENERATED,18,1)&lt;&gt;"",),IF(OR(INDEX(WAS_ITE_CATEGORY,18,1)="",INDEX(WAS_ITE_TYPE,18,1)="",INDEX(WAS_ITE_DELIVERED,18,1)="",INDEX(WAS_ITE_MAXSTORAG,18,1)="",INDEX(WAS_ITE_RETAINED,18,1)="",INDEX(WAS_ITE_GENERATED,18,1)="",INDEX(WAS_ITE_DELIVEREDU,18,1)="",INDEX(WAS_ITE_RETAINEDU,18,1)="",INDEX(WAS_ITE_GENERATEDU,18,1)="",INDEX(WAS_ITE_MAXSTORAGU,18,1)="",),FALSE,TRUE),TRUE)</f>
        <v>1</v>
      </c>
      <c r="E24" s="52" t="str">
        <f t="shared" si="0"/>
        <v>Row 18 - ‘Waste item’ information required</v>
      </c>
      <c r="F24" s="236" t="s">
        <v>1853</v>
      </c>
      <c r="G24" s="250" t="b">
        <f>IF(OR(INDEX(IHZ_HAZ_CONSIGNMENT,17,1)&lt;&gt;"",INDEX(IHZ_HAZ_TRANSDOCID,17,1)&lt;&gt;"",INDEX(IHZ_HAZ_PORTOFLOADING,17,1)&lt;&gt;"",INDEX(IHZ_HAZ_PORTOFDISCHARGE,17,1)&lt;&gt;"",INDEX(IHZ_HAZ_DPGREF,17,1)&lt;&gt;"",INDEX(IHZ_HAZ_DGCLASSIFI,17,1)&lt;&gt;"",INDEX(IHZ_HAZ_TEXTUALREF,17,1)&lt;&gt;"",INDEX(IHZ_HAZ_IMOHAZARDC,17,1)&lt;&gt;"",INDEX(IHZ_HAZ_UNNUMBER,17,1)&lt;&gt;"",INDEX(IHZ_HAZ_TOTAMOUNT,17,1)&lt;&gt;"",INDEX(IHZ_HAZ_PACKINGGRO,17,1)&lt;&gt;"",INDEX(IHZ_HAZ_FLASHPOINT,17,1)&lt;&gt;"",INDEX(IHZ_HAZ_MARPOLCODE,17,1)&lt;&gt;"",INDEX(IHZ_HAZ_PACTYPE,17,1)&lt;&gt;"",INDEX(IHZ_HAZ_TOTALPACKA,17,1)&lt;&gt;"",INDEX(IHZ_HAZ_ADDITIONAL,17,1)&lt;&gt;"",INDEX(IHZ_HAZ_EMS,17,1)&lt;&gt;"",INDEX(IHZ_HAZ_SUBSIDIARY,17,1)&lt;&gt;"",INDEX(IHZ_HAZ_UNITTYPE,17,1)&lt;&gt;"",INDEX(IHZ_HAZ_TEUID,17,1)&lt;&gt;"",INDEX(IHZ_HAZ_LOCATION,17,1)&lt;&gt;"",INDEX(IHZ_HAZ_PACKAGES,17,1)&lt;&gt;"",INDEX(IHZ_HAZ_AMOUNT,17,1)&lt;&gt;"",),IF(OR(INDEX(IHZ_HAZ_DGCLASSIFI,17,1)="",INDEX(IHZ_HAZ_TEXTUALREF,17,1)="",INDEX(IHZ_HAZ_TOTAMOUNT,17,1)="",INDEX(IHZ_HAZ_DPGREF,17,1)="",INDEX(IHZ_HAZ_CONSIGNMENT,17,1)="",),FALSE,TRUE),TRUE)</f>
        <v>1</v>
      </c>
      <c r="H24" s="237" t="str">
        <f t="shared" si="1"/>
        <v>Row 17 - All mandatory fields must be given</v>
      </c>
      <c r="I24" s="236" t="s">
        <v>1853</v>
      </c>
      <c r="J24" s="52" t="b">
        <f>IF(OR(INDEX(OHZ_HAZ_CONSIGNMENT,17,1)&lt;&gt;"",INDEX(OHZ_HAZ_TRANSDOCID,17,1)&lt;&gt;"",INDEX(OHZ_HAZ_PORTOFLOADING,17,1)&lt;&gt;"",INDEX(OHZ_HAZ_PORTOFDISCHARGE,17,1)&lt;&gt;"",INDEX(OHZ_HAZ_DPGREF,17,1)&lt;&gt;"",INDEX(OHZ_HAZ_DGCLASSIFI,17,1)&lt;&gt;"",INDEX(OHZ_HAZ_TEXTUALREF,17,1)&lt;&gt;"",INDEX(OHZ_HAZ_IMOHAZARDC,17,1)&lt;&gt;"",INDEX(OHZ_HAZ_UNNUMBER,17,1)&lt;&gt;"",INDEX(OHZ_HAZ_TOTAMOUNT,17,1)&lt;&gt;"",INDEX(OHZ_HAZ_PACKINGGRO,17,1)&lt;&gt;"",INDEX(OHZ_HAZ_FLASHPOINT,17,1)&lt;&gt;"",INDEX(OHZ_HAZ_MARPOLCODE,17,1)&lt;&gt;"",INDEX(OHZ_HAZ_PACTYPE,17,1)&lt;&gt;"",INDEX(OHZ_HAZ_TOTALPACKA,17,1)&lt;&gt;"",INDEX(OHZ_HAZ_ADDITIONAL,17,1)&lt;&gt;"",INDEX(OHZ_HAZ_EMS,17,1)&lt;&gt;"",INDEX(OHZ_HAZ_SUBSIDIARY,17,1)&lt;&gt;"",INDEX(OHZ_HAZ_UNITTYPE,17,1)&lt;&gt;"",INDEX(OHZ_HAZ_TEUID,17,1)&lt;&gt;"",INDEX(OHZ_HAZ_LOCATION,17,1)&lt;&gt;"",INDEX(OHZ_HAZ_PACKAGES,17,1)&lt;&gt;"",INDEX(OHZ_HAZ_AMOUNT,17,1)&lt;&gt;"",),IF(OR(INDEX(OHZ_HAZ_DGCLASSIFI,17,1)="",INDEX(OHZ_HAZ_TEXTUALREF,17,1)="",INDEX(OHZ_HAZ_TOTAMOUNT,17,1)="",INDEX(OHZ_HAZ_DPGREF,17,1)="",INDEX(OHZ_HAZ_CONSIGNMENT,17,1)="",),FALSE,TRUE),TRUE)</f>
        <v>1</v>
      </c>
      <c r="K24" s="237" t="str">
        <f t="shared" si="2"/>
        <v>Row 17 - All mandatory fields must be given</v>
      </c>
      <c r="L24" s="236" t="s">
        <v>1853</v>
      </c>
      <c r="O24" s="236" t="s">
        <v>1853</v>
      </c>
      <c r="R24" s="52"/>
      <c r="S24" s="52"/>
      <c r="T24" s="52" t="s">
        <v>2109</v>
      </c>
      <c r="V24" s="52"/>
    </row>
    <row r="25" spans="1:22">
      <c r="A25" s="52"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s="52" t="s">
        <v>1955</v>
      </c>
      <c r="C25" s="236" t="s">
        <v>1853</v>
      </c>
      <c r="D25" s="52" t="b">
        <f>IF(OR(INDEX(WAS_ITE_CATEGORY,19,1)&lt;&gt;"",INDEX(WAS_ITE_TYPE,19,1)&lt;&gt;"",INDEX(WAS_ITE_TYPEDESCRI,19,1)&lt;&gt;"",INDEX(WAS_ITE_DELIVERED,19,1)&lt;&gt;"",INDEX(WAS_ITE_MAXSTORAG,19,1)&lt;&gt;"",INDEX(WAS_ITE_RETAINED,19,1)&lt;&gt;"",INDEX(WAS_ITE_REMAINING,19,1)&lt;&gt;"",INDEX(WAS_ITE_GENERATED,19,1)&lt;&gt;"",),IF(OR(INDEX(WAS_ITE_CATEGORY,19,1)="",INDEX(WAS_ITE_TYPE,19,1)="",INDEX(WAS_ITE_DELIVERED,19,1)="",INDEX(WAS_ITE_MAXSTORAG,19,1)="",INDEX(WAS_ITE_RETAINED,19,1)="",INDEX(WAS_ITE_GENERATED,19,1)="",INDEX(WAS_ITE_DELIVEREDU,19,1)="",INDEX(WAS_ITE_RETAINEDU,19,1)="",INDEX(WAS_ITE_GENERATEDU,19,1)="",INDEX(WAS_ITE_MAXSTORAGU,19,1)="",),FALSE,TRUE),TRUE)</f>
        <v>1</v>
      </c>
      <c r="E25" s="52" t="str">
        <f t="shared" si="0"/>
        <v>Row 19 - ‘Waste item’ information required</v>
      </c>
      <c r="F25" s="236" t="s">
        <v>1853</v>
      </c>
      <c r="G25" s="250" t="b">
        <f>IF(OR(INDEX(IHZ_HAZ_CONSIGNMENT,18,1)&lt;&gt;"",INDEX(IHZ_HAZ_TRANSDOCID,18,1)&lt;&gt;"",INDEX(IHZ_HAZ_PORTOFLOADING,18,1)&lt;&gt;"",INDEX(IHZ_HAZ_PORTOFDISCHARGE,18,1)&lt;&gt;"",INDEX(IHZ_HAZ_DPGREF,18,1)&lt;&gt;"",INDEX(IHZ_HAZ_DGCLASSIFI,18,1)&lt;&gt;"",INDEX(IHZ_HAZ_TEXTUALREF,18,1)&lt;&gt;"",INDEX(IHZ_HAZ_IMOHAZARDC,18,1)&lt;&gt;"",INDEX(IHZ_HAZ_UNNUMBER,18,1)&lt;&gt;"",INDEX(IHZ_HAZ_TOTAMOUNT,18,1)&lt;&gt;"",INDEX(IHZ_HAZ_PACKINGGRO,18,1)&lt;&gt;"",INDEX(IHZ_HAZ_FLASHPOINT,18,1)&lt;&gt;"",INDEX(IHZ_HAZ_MARPOLCODE,18,1)&lt;&gt;"",INDEX(IHZ_HAZ_PACTYPE,18,1)&lt;&gt;"",INDEX(IHZ_HAZ_TOTALPACKA,18,1)&lt;&gt;"",INDEX(IHZ_HAZ_ADDITIONAL,18,1)&lt;&gt;"",INDEX(IHZ_HAZ_EMS,18,1)&lt;&gt;"",INDEX(IHZ_HAZ_SUBSIDIARY,18,1)&lt;&gt;"",INDEX(IHZ_HAZ_UNITTYPE,18,1)&lt;&gt;"",INDEX(IHZ_HAZ_TEUID,18,1)&lt;&gt;"",INDEX(IHZ_HAZ_LOCATION,18,1)&lt;&gt;"",INDEX(IHZ_HAZ_PACKAGES,18,1)&lt;&gt;"",INDEX(IHZ_HAZ_AMOUNT,18,1)&lt;&gt;"",),IF(OR(INDEX(IHZ_HAZ_DGCLASSIFI,18,1)="",INDEX(IHZ_HAZ_TEXTUALREF,18,1)="",INDEX(IHZ_HAZ_TOTAMOUNT,18,1)="",INDEX(IHZ_HAZ_DPGREF,18,1)="",INDEX(IHZ_HAZ_CONSIGNMENT,18,1)="",),FALSE,TRUE),TRUE)</f>
        <v>1</v>
      </c>
      <c r="H25" s="237" t="str">
        <f t="shared" si="1"/>
        <v>Row 18 - All mandatory fields must be given</v>
      </c>
      <c r="I25" s="236" t="s">
        <v>1853</v>
      </c>
      <c r="J25" s="52" t="b">
        <f>IF(OR(INDEX(OHZ_HAZ_CONSIGNMENT,18,1)&lt;&gt;"",INDEX(OHZ_HAZ_TRANSDOCID,18,1)&lt;&gt;"",INDEX(OHZ_HAZ_PORTOFLOADING,18,1)&lt;&gt;"",INDEX(OHZ_HAZ_PORTOFDISCHARGE,18,1)&lt;&gt;"",INDEX(OHZ_HAZ_DPGREF,18,1)&lt;&gt;"",INDEX(OHZ_HAZ_DGCLASSIFI,18,1)&lt;&gt;"",INDEX(OHZ_HAZ_TEXTUALREF,18,1)&lt;&gt;"",INDEX(OHZ_HAZ_IMOHAZARDC,18,1)&lt;&gt;"",INDEX(OHZ_HAZ_UNNUMBER,18,1)&lt;&gt;"",INDEX(OHZ_HAZ_TOTAMOUNT,18,1)&lt;&gt;"",INDEX(OHZ_HAZ_PACKINGGRO,18,1)&lt;&gt;"",INDEX(OHZ_HAZ_FLASHPOINT,18,1)&lt;&gt;"",INDEX(OHZ_HAZ_MARPOLCODE,18,1)&lt;&gt;"",INDEX(OHZ_HAZ_PACTYPE,18,1)&lt;&gt;"",INDEX(OHZ_HAZ_TOTALPACKA,18,1)&lt;&gt;"",INDEX(OHZ_HAZ_ADDITIONAL,18,1)&lt;&gt;"",INDEX(OHZ_HAZ_EMS,18,1)&lt;&gt;"",INDEX(OHZ_HAZ_SUBSIDIARY,18,1)&lt;&gt;"",INDEX(OHZ_HAZ_UNITTYPE,18,1)&lt;&gt;"",INDEX(OHZ_HAZ_TEUID,18,1)&lt;&gt;"",INDEX(OHZ_HAZ_LOCATION,18,1)&lt;&gt;"",INDEX(OHZ_HAZ_PACKAGES,18,1)&lt;&gt;"",INDEX(OHZ_HAZ_AMOUNT,18,1)&lt;&gt;"",),IF(OR(INDEX(OHZ_HAZ_DGCLASSIFI,18,1)="",INDEX(OHZ_HAZ_TEXTUALREF,18,1)="",INDEX(OHZ_HAZ_TOTAMOUNT,18,1)="",INDEX(OHZ_HAZ_DPGREF,18,1)="",INDEX(OHZ_HAZ_CONSIGNMENT,18,1)="",),FALSE,TRUE),TRUE)</f>
        <v>1</v>
      </c>
      <c r="K25" s="237" t="str">
        <f t="shared" si="2"/>
        <v>Row 18 - All mandatory fields must be given</v>
      </c>
      <c r="L25" s="236" t="s">
        <v>1853</v>
      </c>
      <c r="O25" s="236" t="s">
        <v>1853</v>
      </c>
      <c r="R25" s="52"/>
      <c r="S25" s="52"/>
      <c r="T25" s="52" t="s">
        <v>2110</v>
      </c>
      <c r="V25" s="52"/>
    </row>
    <row r="26" spans="1:22">
      <c r="A26" s="52"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s="52" t="s">
        <v>1956</v>
      </c>
      <c r="C26" s="236" t="s">
        <v>1853</v>
      </c>
      <c r="D26" s="52" t="b">
        <f>IF(OR(INDEX(WAS_ITE_CATEGORY,20,1)&lt;&gt;"",INDEX(WAS_ITE_TYPE,20,1)&lt;&gt;"",INDEX(WAS_ITE_TYPEDESCRI,20,1)&lt;&gt;"",INDEX(WAS_ITE_DELIVERED,20,1)&lt;&gt;"",INDEX(WAS_ITE_MAXSTORAG,20,1)&lt;&gt;"",INDEX(WAS_ITE_RETAINED,20,1)&lt;&gt;"",INDEX(WAS_ITE_REMAINING,20,1)&lt;&gt;"",INDEX(WAS_ITE_GENERATED,20,1)&lt;&gt;"",),IF(OR(INDEX(WAS_ITE_CATEGORY,20,1)="",INDEX(WAS_ITE_TYPE,20,1)="",INDEX(WAS_ITE_DELIVERED,20,1)="",INDEX(WAS_ITE_MAXSTORAG,20,1)="",INDEX(WAS_ITE_RETAINED,20,1)="",INDEX(WAS_ITE_GENERATED,20,1)="",INDEX(WAS_ITE_DELIVEREDU,20,1)="",INDEX(WAS_ITE_RETAINEDU,20,1)="",INDEX(WAS_ITE_GENERATEDU,20,1)="",INDEX(WAS_ITE_MAXSTORAGU,20,1)="",),FALSE,TRUE),TRUE)</f>
        <v>1</v>
      </c>
      <c r="E26" s="52" t="str">
        <f t="shared" si="0"/>
        <v>Row 20 - ‘Waste item’ information required</v>
      </c>
      <c r="F26" s="236" t="s">
        <v>1853</v>
      </c>
      <c r="G26" s="250" t="b">
        <f>IF(OR(INDEX(IHZ_HAZ_CONSIGNMENT,19,1)&lt;&gt;"",INDEX(IHZ_HAZ_TRANSDOCID,19,1)&lt;&gt;"",INDEX(IHZ_HAZ_PORTOFLOADING,19,1)&lt;&gt;"",INDEX(IHZ_HAZ_PORTOFDISCHARGE,19,1)&lt;&gt;"",INDEX(IHZ_HAZ_DPGREF,19,1)&lt;&gt;"",INDEX(IHZ_HAZ_DGCLASSIFI,19,1)&lt;&gt;"",INDEX(IHZ_HAZ_TEXTUALREF,19,1)&lt;&gt;"",INDEX(IHZ_HAZ_IMOHAZARDC,19,1)&lt;&gt;"",INDEX(IHZ_HAZ_UNNUMBER,19,1)&lt;&gt;"",INDEX(IHZ_HAZ_TOTAMOUNT,19,1)&lt;&gt;"",INDEX(IHZ_HAZ_PACKINGGRO,19,1)&lt;&gt;"",INDEX(IHZ_HAZ_FLASHPOINT,19,1)&lt;&gt;"",INDEX(IHZ_HAZ_MARPOLCODE,19,1)&lt;&gt;"",INDEX(IHZ_HAZ_PACTYPE,19,1)&lt;&gt;"",INDEX(IHZ_HAZ_TOTALPACKA,19,1)&lt;&gt;"",INDEX(IHZ_HAZ_ADDITIONAL,19,1)&lt;&gt;"",INDEX(IHZ_HAZ_EMS,19,1)&lt;&gt;"",INDEX(IHZ_HAZ_SUBSIDIARY,19,1)&lt;&gt;"",INDEX(IHZ_HAZ_UNITTYPE,19,1)&lt;&gt;"",INDEX(IHZ_HAZ_TEUID,19,1)&lt;&gt;"",INDEX(IHZ_HAZ_LOCATION,19,1)&lt;&gt;"",INDEX(IHZ_HAZ_PACKAGES,19,1)&lt;&gt;"",INDEX(IHZ_HAZ_AMOUNT,19,1)&lt;&gt;"",),IF(OR(INDEX(IHZ_HAZ_DGCLASSIFI,19,1)="",INDEX(IHZ_HAZ_TEXTUALREF,19,1)="",INDEX(IHZ_HAZ_TOTAMOUNT,19,1)="",INDEX(IHZ_HAZ_DPGREF,19,1)="",INDEX(IHZ_HAZ_CONSIGNMENT,19,1)="",),FALSE,TRUE),TRUE)</f>
        <v>1</v>
      </c>
      <c r="H26" s="237" t="str">
        <f t="shared" si="1"/>
        <v>Row 19 - All mandatory fields must be given</v>
      </c>
      <c r="I26" s="236" t="s">
        <v>1853</v>
      </c>
      <c r="J26" s="52" t="b">
        <f>IF(OR(INDEX(OHZ_HAZ_CONSIGNMENT,19,1)&lt;&gt;"",INDEX(OHZ_HAZ_TRANSDOCID,19,1)&lt;&gt;"",INDEX(OHZ_HAZ_PORTOFLOADING,19,1)&lt;&gt;"",INDEX(OHZ_HAZ_PORTOFDISCHARGE,19,1)&lt;&gt;"",INDEX(OHZ_HAZ_DPGREF,19,1)&lt;&gt;"",INDEX(OHZ_HAZ_DGCLASSIFI,19,1)&lt;&gt;"",INDEX(OHZ_HAZ_TEXTUALREF,19,1)&lt;&gt;"",INDEX(OHZ_HAZ_IMOHAZARDC,19,1)&lt;&gt;"",INDEX(OHZ_HAZ_UNNUMBER,19,1)&lt;&gt;"",INDEX(OHZ_HAZ_TOTAMOUNT,19,1)&lt;&gt;"",INDEX(OHZ_HAZ_PACKINGGRO,19,1)&lt;&gt;"",INDEX(OHZ_HAZ_FLASHPOINT,19,1)&lt;&gt;"",INDEX(OHZ_HAZ_MARPOLCODE,19,1)&lt;&gt;"",INDEX(OHZ_HAZ_PACTYPE,19,1)&lt;&gt;"",INDEX(OHZ_HAZ_TOTALPACKA,19,1)&lt;&gt;"",INDEX(OHZ_HAZ_ADDITIONAL,19,1)&lt;&gt;"",INDEX(OHZ_HAZ_EMS,19,1)&lt;&gt;"",INDEX(OHZ_HAZ_SUBSIDIARY,19,1)&lt;&gt;"",INDEX(OHZ_HAZ_UNITTYPE,19,1)&lt;&gt;"",INDEX(OHZ_HAZ_TEUID,19,1)&lt;&gt;"",INDEX(OHZ_HAZ_LOCATION,19,1)&lt;&gt;"",INDEX(OHZ_HAZ_PACKAGES,19,1)&lt;&gt;"",INDEX(OHZ_HAZ_AMOUNT,19,1)&lt;&gt;"",),IF(OR(INDEX(OHZ_HAZ_DGCLASSIFI,19,1)="",INDEX(OHZ_HAZ_TEXTUALREF,19,1)="",INDEX(OHZ_HAZ_TOTAMOUNT,19,1)="",INDEX(OHZ_HAZ_DPGREF,19,1)="",INDEX(OHZ_HAZ_CONSIGNMENT,19,1)="",),FALSE,TRUE),TRUE)</f>
        <v>1</v>
      </c>
      <c r="K26" s="237" t="str">
        <f t="shared" si="2"/>
        <v>Row 19 - All mandatory fields must be given</v>
      </c>
      <c r="L26" s="236" t="s">
        <v>1853</v>
      </c>
      <c r="O26" s="236" t="s">
        <v>1853</v>
      </c>
      <c r="R26" s="52"/>
      <c r="S26" s="52"/>
      <c r="T26" s="52" t="s">
        <v>2111</v>
      </c>
      <c r="V26" s="52"/>
    </row>
    <row r="27" spans="1:22">
      <c r="A27" s="52"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s="52" t="s">
        <v>1957</v>
      </c>
      <c r="C27" s="236" t="s">
        <v>1853</v>
      </c>
      <c r="D27" s="52" t="b">
        <f>IF(OR(INDEX(WAS_ITE_CATEGORY,21,1)&lt;&gt;"",INDEX(WAS_ITE_TYPE,21,1)&lt;&gt;"",INDEX(WAS_ITE_TYPEDESCRI,21,1)&lt;&gt;"",INDEX(WAS_ITE_DELIVERED,21,1)&lt;&gt;"",INDEX(WAS_ITE_MAXSTORAG,21,1)&lt;&gt;"",INDEX(WAS_ITE_RETAINED,21,1)&lt;&gt;"",INDEX(WAS_ITE_REMAINING,21,1)&lt;&gt;"",INDEX(WAS_ITE_GENERATED,21,1)&lt;&gt;"",),IF(OR(INDEX(WAS_ITE_CATEGORY,21,1)="",INDEX(WAS_ITE_TYPE,21,1)="",INDEX(WAS_ITE_DELIVERED,21,1)="",INDEX(WAS_ITE_MAXSTORAG,21,1)="",INDEX(WAS_ITE_RETAINED,21,1)="",INDEX(WAS_ITE_GENERATED,21,1)="",INDEX(WAS_ITE_DELIVEREDU,21,1)="",INDEX(WAS_ITE_RETAINEDU,21,1)="",INDEX(WAS_ITE_GENERATEDU,21,1)="",INDEX(WAS_ITE_MAXSTORAGU,21,1)="",),FALSE,TRUE),TRUE)</f>
        <v>1</v>
      </c>
      <c r="E27" s="52" t="str">
        <f t="shared" si="0"/>
        <v>Row 21 - ‘Waste item’ information required</v>
      </c>
      <c r="F27" s="236" t="s">
        <v>1853</v>
      </c>
      <c r="G27" s="250" t="b">
        <f>IF(OR(INDEX(IHZ_HAZ_CONSIGNMENT,20,1)&lt;&gt;"",INDEX(IHZ_HAZ_TRANSDOCID,20,1)&lt;&gt;"",INDEX(IHZ_HAZ_PORTOFLOADING,20,1)&lt;&gt;"",INDEX(IHZ_HAZ_PORTOFDISCHARGE,20,1)&lt;&gt;"",INDEX(IHZ_HAZ_DPGREF,20,1)&lt;&gt;"",INDEX(IHZ_HAZ_DGCLASSIFI,20,1)&lt;&gt;"",INDEX(IHZ_HAZ_TEXTUALREF,20,1)&lt;&gt;"",INDEX(IHZ_HAZ_IMOHAZARDC,20,1)&lt;&gt;"",INDEX(IHZ_HAZ_UNNUMBER,20,1)&lt;&gt;"",INDEX(IHZ_HAZ_TOTAMOUNT,20,1)&lt;&gt;"",INDEX(IHZ_HAZ_PACKINGGRO,20,1)&lt;&gt;"",INDEX(IHZ_HAZ_FLASHPOINT,20,1)&lt;&gt;"",INDEX(IHZ_HAZ_MARPOLCODE,20,1)&lt;&gt;"",INDEX(IHZ_HAZ_PACTYPE,20,1)&lt;&gt;"",INDEX(IHZ_HAZ_TOTALPACKA,20,1)&lt;&gt;"",INDEX(IHZ_HAZ_ADDITIONAL,20,1)&lt;&gt;"",INDEX(IHZ_HAZ_EMS,20,1)&lt;&gt;"",INDEX(IHZ_HAZ_SUBSIDIARY,20,1)&lt;&gt;"",INDEX(IHZ_HAZ_UNITTYPE,20,1)&lt;&gt;"",INDEX(IHZ_HAZ_TEUID,20,1)&lt;&gt;"",INDEX(IHZ_HAZ_LOCATION,20,1)&lt;&gt;"",INDEX(IHZ_HAZ_PACKAGES,20,1)&lt;&gt;"",INDEX(IHZ_HAZ_AMOUNT,20,1)&lt;&gt;"",),IF(OR(INDEX(IHZ_HAZ_DGCLASSIFI,20,1)="",INDEX(IHZ_HAZ_TEXTUALREF,20,1)="",INDEX(IHZ_HAZ_TOTAMOUNT,20,1)="",INDEX(IHZ_HAZ_DPGREF,20,1)="",INDEX(IHZ_HAZ_CONSIGNMENT,20,1)="",),FALSE,TRUE),TRUE)</f>
        <v>1</v>
      </c>
      <c r="H27" s="237" t="str">
        <f t="shared" si="1"/>
        <v>Row 20 - All mandatory fields must be given</v>
      </c>
      <c r="I27" s="236" t="s">
        <v>1853</v>
      </c>
      <c r="J27" s="52" t="b">
        <f>IF(OR(INDEX(OHZ_HAZ_CONSIGNMENT,20,1)&lt;&gt;"",INDEX(OHZ_HAZ_TRANSDOCID,20,1)&lt;&gt;"",INDEX(OHZ_HAZ_PORTOFLOADING,20,1)&lt;&gt;"",INDEX(OHZ_HAZ_PORTOFDISCHARGE,20,1)&lt;&gt;"",INDEX(OHZ_HAZ_DPGREF,20,1)&lt;&gt;"",INDEX(OHZ_HAZ_DGCLASSIFI,20,1)&lt;&gt;"",INDEX(OHZ_HAZ_TEXTUALREF,20,1)&lt;&gt;"",INDEX(OHZ_HAZ_IMOHAZARDC,20,1)&lt;&gt;"",INDEX(OHZ_HAZ_UNNUMBER,20,1)&lt;&gt;"",INDEX(OHZ_HAZ_TOTAMOUNT,20,1)&lt;&gt;"",INDEX(OHZ_HAZ_PACKINGGRO,20,1)&lt;&gt;"",INDEX(OHZ_HAZ_FLASHPOINT,20,1)&lt;&gt;"",INDEX(OHZ_HAZ_MARPOLCODE,20,1)&lt;&gt;"",INDEX(OHZ_HAZ_PACTYPE,20,1)&lt;&gt;"",INDEX(OHZ_HAZ_TOTALPACKA,20,1)&lt;&gt;"",INDEX(OHZ_HAZ_ADDITIONAL,20,1)&lt;&gt;"",INDEX(OHZ_HAZ_EMS,20,1)&lt;&gt;"",INDEX(OHZ_HAZ_SUBSIDIARY,20,1)&lt;&gt;"",INDEX(OHZ_HAZ_UNITTYPE,20,1)&lt;&gt;"",INDEX(OHZ_HAZ_TEUID,20,1)&lt;&gt;"",INDEX(OHZ_HAZ_LOCATION,20,1)&lt;&gt;"",INDEX(OHZ_HAZ_PACKAGES,20,1)&lt;&gt;"",INDEX(OHZ_HAZ_AMOUNT,20,1)&lt;&gt;"",),IF(OR(INDEX(OHZ_HAZ_DGCLASSIFI,20,1)="",INDEX(OHZ_HAZ_TEXTUALREF,20,1)="",INDEX(OHZ_HAZ_TOTAMOUNT,20,1)="",INDEX(OHZ_HAZ_DPGREF,20,1)="",INDEX(OHZ_HAZ_CONSIGNMENT,20,1)="",),FALSE,TRUE),TRUE)</f>
        <v>1</v>
      </c>
      <c r="K27" s="237" t="str">
        <f t="shared" si="2"/>
        <v>Row 20 - All mandatory fields must be given</v>
      </c>
      <c r="L27" s="236" t="s">
        <v>1853</v>
      </c>
      <c r="O27" s="236" t="s">
        <v>1853</v>
      </c>
      <c r="R27" s="52"/>
      <c r="S27" s="52"/>
      <c r="T27" s="52" t="s">
        <v>2112</v>
      </c>
      <c r="V27" s="52"/>
    </row>
    <row r="28" spans="1:22">
      <c r="A28" s="52"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s="52" t="s">
        <v>1958</v>
      </c>
      <c r="C28" s="236" t="s">
        <v>1853</v>
      </c>
      <c r="D28" s="52" t="b">
        <f>IF(OR(INDEX(WAS_ITE_CATEGORY,22,1)&lt;&gt;"",INDEX(WAS_ITE_TYPE,22,1)&lt;&gt;"",INDEX(WAS_ITE_TYPEDESCRI,22,1)&lt;&gt;"",INDEX(WAS_ITE_DELIVERED,22,1)&lt;&gt;"",INDEX(WAS_ITE_MAXSTORAG,22,1)&lt;&gt;"",INDEX(WAS_ITE_RETAINED,22,1)&lt;&gt;"",INDEX(WAS_ITE_REMAINING,22,1)&lt;&gt;"",INDEX(WAS_ITE_GENERATED,22,1)&lt;&gt;"",),IF(OR(INDEX(WAS_ITE_CATEGORY,22,1)="",INDEX(WAS_ITE_TYPE,22,1)="",INDEX(WAS_ITE_DELIVERED,22,1)="",INDEX(WAS_ITE_MAXSTORAG,22,1)="",INDEX(WAS_ITE_RETAINED,22,1)="",INDEX(WAS_ITE_GENERATED,22,1)="",INDEX(WAS_ITE_DELIVEREDU,22,1)="",INDEX(WAS_ITE_RETAINEDU,22,1)="",INDEX(WAS_ITE_GENERATEDU,22,1)="",INDEX(WAS_ITE_MAXSTORAGU,22,1)="",),FALSE,TRUE),TRUE)</f>
        <v>1</v>
      </c>
      <c r="E28" s="52" t="str">
        <f t="shared" si="0"/>
        <v>Row 22 - ‘Waste item’ information required</v>
      </c>
      <c r="F28" s="236" t="s">
        <v>1853</v>
      </c>
      <c r="G28" s="250" t="b">
        <f>IF(OR(INDEX(IHZ_HAZ_CONSIGNMENT,21,1)&lt;&gt;"",INDEX(IHZ_HAZ_TRANSDOCID,21,1)&lt;&gt;"",INDEX(IHZ_HAZ_PORTOFLOADING,21,1)&lt;&gt;"",INDEX(IHZ_HAZ_PORTOFDISCHARGE,21,1)&lt;&gt;"",INDEX(IHZ_HAZ_DPGREF,21,1)&lt;&gt;"",INDEX(IHZ_HAZ_DGCLASSIFI,21,1)&lt;&gt;"",INDEX(IHZ_HAZ_TEXTUALREF,21,1)&lt;&gt;"",INDEX(IHZ_HAZ_IMOHAZARDC,21,1)&lt;&gt;"",INDEX(IHZ_HAZ_UNNUMBER,21,1)&lt;&gt;"",INDEX(IHZ_HAZ_TOTAMOUNT,21,1)&lt;&gt;"",INDEX(IHZ_HAZ_PACKINGGRO,21,1)&lt;&gt;"",INDEX(IHZ_HAZ_FLASHPOINT,21,1)&lt;&gt;"",INDEX(IHZ_HAZ_MARPOLCODE,21,1)&lt;&gt;"",INDEX(IHZ_HAZ_PACTYPE,21,1)&lt;&gt;"",INDEX(IHZ_HAZ_TOTALPACKA,21,1)&lt;&gt;"",INDEX(IHZ_HAZ_ADDITIONAL,21,1)&lt;&gt;"",INDEX(IHZ_HAZ_EMS,21,1)&lt;&gt;"",INDEX(IHZ_HAZ_SUBSIDIARY,21,1)&lt;&gt;"",INDEX(IHZ_HAZ_UNITTYPE,21,1)&lt;&gt;"",INDEX(IHZ_HAZ_TEUID,21,1)&lt;&gt;"",INDEX(IHZ_HAZ_LOCATION,21,1)&lt;&gt;"",INDEX(IHZ_HAZ_PACKAGES,21,1)&lt;&gt;"",INDEX(IHZ_HAZ_AMOUNT,21,1)&lt;&gt;"",),IF(OR(INDEX(IHZ_HAZ_DGCLASSIFI,21,1)="",INDEX(IHZ_HAZ_TEXTUALREF,21,1)="",INDEX(IHZ_HAZ_TOTAMOUNT,21,1)="",INDEX(IHZ_HAZ_DPGREF,21,1)="",INDEX(IHZ_HAZ_CONSIGNMENT,21,1)="",),FALSE,TRUE),TRUE)</f>
        <v>1</v>
      </c>
      <c r="H28" s="237" t="str">
        <f t="shared" si="1"/>
        <v>Row 21 - All mandatory fields must be given</v>
      </c>
      <c r="I28" s="236" t="s">
        <v>1853</v>
      </c>
      <c r="J28" s="52" t="b">
        <f>IF(OR(INDEX(OHZ_HAZ_CONSIGNMENT,21,1)&lt;&gt;"",INDEX(OHZ_HAZ_TRANSDOCID,21,1)&lt;&gt;"",INDEX(OHZ_HAZ_PORTOFLOADING,21,1)&lt;&gt;"",INDEX(OHZ_HAZ_PORTOFDISCHARGE,21,1)&lt;&gt;"",INDEX(OHZ_HAZ_DPGREF,21,1)&lt;&gt;"",INDEX(OHZ_HAZ_DGCLASSIFI,21,1)&lt;&gt;"",INDEX(OHZ_HAZ_TEXTUALREF,21,1)&lt;&gt;"",INDEX(OHZ_HAZ_IMOHAZARDC,21,1)&lt;&gt;"",INDEX(OHZ_HAZ_UNNUMBER,21,1)&lt;&gt;"",INDEX(OHZ_HAZ_TOTAMOUNT,21,1)&lt;&gt;"",INDEX(OHZ_HAZ_PACKINGGRO,21,1)&lt;&gt;"",INDEX(OHZ_HAZ_FLASHPOINT,21,1)&lt;&gt;"",INDEX(OHZ_HAZ_MARPOLCODE,21,1)&lt;&gt;"",INDEX(OHZ_HAZ_PACTYPE,21,1)&lt;&gt;"",INDEX(OHZ_HAZ_TOTALPACKA,21,1)&lt;&gt;"",INDEX(OHZ_HAZ_ADDITIONAL,21,1)&lt;&gt;"",INDEX(OHZ_HAZ_EMS,21,1)&lt;&gt;"",INDEX(OHZ_HAZ_SUBSIDIARY,21,1)&lt;&gt;"",INDEX(OHZ_HAZ_UNITTYPE,21,1)&lt;&gt;"",INDEX(OHZ_HAZ_TEUID,21,1)&lt;&gt;"",INDEX(OHZ_HAZ_LOCATION,21,1)&lt;&gt;"",INDEX(OHZ_HAZ_PACKAGES,21,1)&lt;&gt;"",INDEX(OHZ_HAZ_AMOUNT,21,1)&lt;&gt;"",),IF(OR(INDEX(OHZ_HAZ_DGCLASSIFI,21,1)="",INDEX(OHZ_HAZ_TEXTUALREF,21,1)="",INDEX(OHZ_HAZ_TOTAMOUNT,21,1)="",INDEX(OHZ_HAZ_DPGREF,21,1)="",INDEX(OHZ_HAZ_CONSIGNMENT,21,1)="",),FALSE,TRUE),TRUE)</f>
        <v>1</v>
      </c>
      <c r="K28" s="237" t="str">
        <f t="shared" si="2"/>
        <v>Row 21 - All mandatory fields must be given</v>
      </c>
      <c r="L28" s="236" t="s">
        <v>1853</v>
      </c>
      <c r="R28" s="52"/>
      <c r="S28" s="52"/>
      <c r="T28" s="52" t="s">
        <v>2113</v>
      </c>
      <c r="V28" s="52"/>
    </row>
    <row r="29" spans="1:22">
      <c r="A29" s="52"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s="52" t="s">
        <v>1959</v>
      </c>
      <c r="C29" s="236" t="s">
        <v>1853</v>
      </c>
      <c r="D29" s="52" t="b">
        <f>IF(OR(INDEX(WAS_ITE_CATEGORY,23,1)&lt;&gt;"",INDEX(WAS_ITE_TYPE,23,1)&lt;&gt;"",INDEX(WAS_ITE_TYPEDESCRI,23,1)&lt;&gt;"",INDEX(WAS_ITE_DELIVERED,23,1)&lt;&gt;"",INDEX(WAS_ITE_MAXSTORAG,23,1)&lt;&gt;"",INDEX(WAS_ITE_RETAINED,23,1)&lt;&gt;"",INDEX(WAS_ITE_REMAINING,23,1)&lt;&gt;"",INDEX(WAS_ITE_GENERATED,23,1)&lt;&gt;"",),IF(OR(INDEX(WAS_ITE_CATEGORY,23,1)="",INDEX(WAS_ITE_TYPE,23,1)="",INDEX(WAS_ITE_DELIVERED,23,1)="",INDEX(WAS_ITE_MAXSTORAG,23,1)="",INDEX(WAS_ITE_RETAINED,23,1)="",INDEX(WAS_ITE_GENERATED,23,1)="",INDEX(WAS_ITE_DELIVEREDU,23,1)="",INDEX(WAS_ITE_RETAINEDU,23,1)="",INDEX(WAS_ITE_GENERATEDU,23,1)="",INDEX(WAS_ITE_MAXSTORAGU,23,1)="",),FALSE,TRUE),TRUE)</f>
        <v>1</v>
      </c>
      <c r="E29" s="52" t="str">
        <f t="shared" si="0"/>
        <v>Row 23 - ‘Waste item’ information required</v>
      </c>
      <c r="F29" s="236" t="s">
        <v>1853</v>
      </c>
      <c r="G29" s="250" t="b">
        <f>IF(OR(INDEX(IHZ_HAZ_CONSIGNMENT,22,1)&lt;&gt;"",INDEX(IHZ_HAZ_TRANSDOCID,22,1)&lt;&gt;"",INDEX(IHZ_HAZ_PORTOFLOADING,22,1)&lt;&gt;"",INDEX(IHZ_HAZ_PORTOFDISCHARGE,22,1)&lt;&gt;"",INDEX(IHZ_HAZ_DPGREF,22,1)&lt;&gt;"",INDEX(IHZ_HAZ_DGCLASSIFI,22,1)&lt;&gt;"",INDEX(IHZ_HAZ_TEXTUALREF,22,1)&lt;&gt;"",INDEX(IHZ_HAZ_IMOHAZARDC,22,1)&lt;&gt;"",INDEX(IHZ_HAZ_UNNUMBER,22,1)&lt;&gt;"",INDEX(IHZ_HAZ_TOTAMOUNT,22,1)&lt;&gt;"",INDEX(IHZ_HAZ_PACKINGGRO,22,1)&lt;&gt;"",INDEX(IHZ_HAZ_FLASHPOINT,22,1)&lt;&gt;"",INDEX(IHZ_HAZ_MARPOLCODE,22,1)&lt;&gt;"",INDEX(IHZ_HAZ_PACTYPE,22,1)&lt;&gt;"",INDEX(IHZ_HAZ_TOTALPACKA,22,1)&lt;&gt;"",INDEX(IHZ_HAZ_ADDITIONAL,22,1)&lt;&gt;"",INDEX(IHZ_HAZ_EMS,22,1)&lt;&gt;"",INDEX(IHZ_HAZ_SUBSIDIARY,22,1)&lt;&gt;"",INDEX(IHZ_HAZ_UNITTYPE,22,1)&lt;&gt;"",INDEX(IHZ_HAZ_TEUID,22,1)&lt;&gt;"",INDEX(IHZ_HAZ_LOCATION,22,1)&lt;&gt;"",INDEX(IHZ_HAZ_PACKAGES,22,1)&lt;&gt;"",INDEX(IHZ_HAZ_AMOUNT,22,1)&lt;&gt;"",),IF(OR(INDEX(IHZ_HAZ_DGCLASSIFI,22,1)="",INDEX(IHZ_HAZ_TEXTUALREF,22,1)="",INDEX(IHZ_HAZ_TOTAMOUNT,22,1)="",INDEX(IHZ_HAZ_DPGREF,22,1)="",INDEX(IHZ_HAZ_CONSIGNMENT,22,1)="",),FALSE,TRUE),TRUE)</f>
        <v>1</v>
      </c>
      <c r="H29" s="237" t="str">
        <f t="shared" si="1"/>
        <v>Row 22 - All mandatory fields must be given</v>
      </c>
      <c r="I29" s="236" t="s">
        <v>1853</v>
      </c>
      <c r="J29" s="52" t="b">
        <f>IF(OR(INDEX(OHZ_HAZ_CONSIGNMENT,22,1)&lt;&gt;"",INDEX(OHZ_HAZ_TRANSDOCID,22,1)&lt;&gt;"",INDEX(OHZ_HAZ_PORTOFLOADING,22,1)&lt;&gt;"",INDEX(OHZ_HAZ_PORTOFDISCHARGE,22,1)&lt;&gt;"",INDEX(OHZ_HAZ_DPGREF,22,1)&lt;&gt;"",INDEX(OHZ_HAZ_DGCLASSIFI,22,1)&lt;&gt;"",INDEX(OHZ_HAZ_TEXTUALREF,22,1)&lt;&gt;"",INDEX(OHZ_HAZ_IMOHAZARDC,22,1)&lt;&gt;"",INDEX(OHZ_HAZ_UNNUMBER,22,1)&lt;&gt;"",INDEX(OHZ_HAZ_TOTAMOUNT,22,1)&lt;&gt;"",INDEX(OHZ_HAZ_PACKINGGRO,22,1)&lt;&gt;"",INDEX(OHZ_HAZ_FLASHPOINT,22,1)&lt;&gt;"",INDEX(OHZ_HAZ_MARPOLCODE,22,1)&lt;&gt;"",INDEX(OHZ_HAZ_PACTYPE,22,1)&lt;&gt;"",INDEX(OHZ_HAZ_TOTALPACKA,22,1)&lt;&gt;"",INDEX(OHZ_HAZ_ADDITIONAL,22,1)&lt;&gt;"",INDEX(OHZ_HAZ_EMS,22,1)&lt;&gt;"",INDEX(OHZ_HAZ_SUBSIDIARY,22,1)&lt;&gt;"",INDEX(OHZ_HAZ_UNITTYPE,22,1)&lt;&gt;"",INDEX(OHZ_HAZ_TEUID,22,1)&lt;&gt;"",INDEX(OHZ_HAZ_LOCATION,22,1)&lt;&gt;"",INDEX(OHZ_HAZ_PACKAGES,22,1)&lt;&gt;"",INDEX(OHZ_HAZ_AMOUNT,22,1)&lt;&gt;"",),IF(OR(INDEX(OHZ_HAZ_DGCLASSIFI,22,1)="",INDEX(OHZ_HAZ_TEXTUALREF,22,1)="",INDEX(OHZ_HAZ_TOTAMOUNT,22,1)="",INDEX(OHZ_HAZ_DPGREF,22,1)="",INDEX(OHZ_HAZ_CONSIGNMENT,22,1)="",),FALSE,TRUE),TRUE)</f>
        <v>1</v>
      </c>
      <c r="K29" s="237" t="str">
        <f t="shared" si="2"/>
        <v>Row 22 - All mandatory fields must be given</v>
      </c>
      <c r="L29" s="236" t="s">
        <v>1853</v>
      </c>
      <c r="R29" s="52"/>
      <c r="S29" s="52"/>
      <c r="T29" s="52" t="s">
        <v>2114</v>
      </c>
      <c r="V29" s="52"/>
    </row>
    <row r="30" spans="1:22">
      <c r="A30" s="52"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s="52" t="s">
        <v>1960</v>
      </c>
      <c r="C30" s="236" t="s">
        <v>1853</v>
      </c>
      <c r="D30" s="52" t="b">
        <f>IF(OR(INDEX(WAS_ITE_CATEGORY,24,1)&lt;&gt;"",INDEX(WAS_ITE_TYPE,24,1)&lt;&gt;"",INDEX(WAS_ITE_TYPEDESCRI,24,1)&lt;&gt;"",INDEX(WAS_ITE_DELIVERED,24,1)&lt;&gt;"",INDEX(WAS_ITE_MAXSTORAG,24,1)&lt;&gt;"",INDEX(WAS_ITE_RETAINED,24,1)&lt;&gt;"",INDEX(WAS_ITE_REMAINING,24,1)&lt;&gt;"",INDEX(WAS_ITE_GENERATED,24,1)&lt;&gt;"",),IF(OR(INDEX(WAS_ITE_CATEGORY,24,1)="",INDEX(WAS_ITE_TYPE,24,1)="",INDEX(WAS_ITE_DELIVERED,24,1)="",INDEX(WAS_ITE_MAXSTORAG,24,1)="",INDEX(WAS_ITE_RETAINED,24,1)="",INDEX(WAS_ITE_GENERATED,24,1)="",INDEX(WAS_ITE_DELIVEREDU,24,1)="",INDEX(WAS_ITE_RETAINEDU,24,1)="",INDEX(WAS_ITE_GENERATEDU,24,1)="",INDEX(WAS_ITE_MAXSTORAGU,24,1)="",),FALSE,TRUE),TRUE)</f>
        <v>1</v>
      </c>
      <c r="E30" s="52" t="str">
        <f t="shared" si="0"/>
        <v>Row 24 - ‘Waste item’ information required</v>
      </c>
      <c r="F30" s="236" t="s">
        <v>1853</v>
      </c>
      <c r="G30" s="250" t="b">
        <f>IF(OR(INDEX(IHZ_HAZ_CONSIGNMENT,23,1)&lt;&gt;"",INDEX(IHZ_HAZ_TRANSDOCID,23,1)&lt;&gt;"",INDEX(IHZ_HAZ_PORTOFLOADING,23,1)&lt;&gt;"",INDEX(IHZ_HAZ_PORTOFDISCHARGE,23,1)&lt;&gt;"",INDEX(IHZ_HAZ_DPGREF,23,1)&lt;&gt;"",INDEX(IHZ_HAZ_DGCLASSIFI,23,1)&lt;&gt;"",INDEX(IHZ_HAZ_TEXTUALREF,23,1)&lt;&gt;"",INDEX(IHZ_HAZ_IMOHAZARDC,23,1)&lt;&gt;"",INDEX(IHZ_HAZ_UNNUMBER,23,1)&lt;&gt;"",INDEX(IHZ_HAZ_TOTAMOUNT,23,1)&lt;&gt;"",INDEX(IHZ_HAZ_PACKINGGRO,23,1)&lt;&gt;"",INDEX(IHZ_HAZ_FLASHPOINT,23,1)&lt;&gt;"",INDEX(IHZ_HAZ_MARPOLCODE,23,1)&lt;&gt;"",INDEX(IHZ_HAZ_PACTYPE,23,1)&lt;&gt;"",INDEX(IHZ_HAZ_TOTALPACKA,23,1)&lt;&gt;"",INDEX(IHZ_HAZ_ADDITIONAL,23,1)&lt;&gt;"",INDEX(IHZ_HAZ_EMS,23,1)&lt;&gt;"",INDEX(IHZ_HAZ_SUBSIDIARY,23,1)&lt;&gt;"",INDEX(IHZ_HAZ_UNITTYPE,23,1)&lt;&gt;"",INDEX(IHZ_HAZ_TEUID,23,1)&lt;&gt;"",INDEX(IHZ_HAZ_LOCATION,23,1)&lt;&gt;"",INDEX(IHZ_HAZ_PACKAGES,23,1)&lt;&gt;"",INDEX(IHZ_HAZ_AMOUNT,23,1)&lt;&gt;"",),IF(OR(INDEX(IHZ_HAZ_DGCLASSIFI,23,1)="",INDEX(IHZ_HAZ_TEXTUALREF,23,1)="",INDEX(IHZ_HAZ_TOTAMOUNT,23,1)="",INDEX(IHZ_HAZ_DPGREF,23,1)="",INDEX(IHZ_HAZ_CONSIGNMENT,23,1)="",),FALSE,TRUE),TRUE)</f>
        <v>1</v>
      </c>
      <c r="H30" s="237" t="str">
        <f t="shared" si="1"/>
        <v>Row 23 - All mandatory fields must be given</v>
      </c>
      <c r="I30" s="236" t="s">
        <v>1853</v>
      </c>
      <c r="J30" s="52" t="b">
        <f>IF(OR(INDEX(OHZ_HAZ_CONSIGNMENT,23,1)&lt;&gt;"",INDEX(OHZ_HAZ_TRANSDOCID,23,1)&lt;&gt;"",INDEX(OHZ_HAZ_PORTOFLOADING,23,1)&lt;&gt;"",INDEX(OHZ_HAZ_PORTOFDISCHARGE,23,1)&lt;&gt;"",INDEX(OHZ_HAZ_DPGREF,23,1)&lt;&gt;"",INDEX(OHZ_HAZ_DGCLASSIFI,23,1)&lt;&gt;"",INDEX(OHZ_HAZ_TEXTUALREF,23,1)&lt;&gt;"",INDEX(OHZ_HAZ_IMOHAZARDC,23,1)&lt;&gt;"",INDEX(OHZ_HAZ_UNNUMBER,23,1)&lt;&gt;"",INDEX(OHZ_HAZ_TOTAMOUNT,23,1)&lt;&gt;"",INDEX(OHZ_HAZ_PACKINGGRO,23,1)&lt;&gt;"",INDEX(OHZ_HAZ_FLASHPOINT,23,1)&lt;&gt;"",INDEX(OHZ_HAZ_MARPOLCODE,23,1)&lt;&gt;"",INDEX(OHZ_HAZ_PACTYPE,23,1)&lt;&gt;"",INDEX(OHZ_HAZ_TOTALPACKA,23,1)&lt;&gt;"",INDEX(OHZ_HAZ_ADDITIONAL,23,1)&lt;&gt;"",INDEX(OHZ_HAZ_EMS,23,1)&lt;&gt;"",INDEX(OHZ_HAZ_SUBSIDIARY,23,1)&lt;&gt;"",INDEX(OHZ_HAZ_UNITTYPE,23,1)&lt;&gt;"",INDEX(OHZ_HAZ_TEUID,23,1)&lt;&gt;"",INDEX(OHZ_HAZ_LOCATION,23,1)&lt;&gt;"",INDEX(OHZ_HAZ_PACKAGES,23,1)&lt;&gt;"",INDEX(OHZ_HAZ_AMOUNT,23,1)&lt;&gt;"",),IF(OR(INDEX(OHZ_HAZ_DGCLASSIFI,23,1)="",INDEX(OHZ_HAZ_TEXTUALREF,23,1)="",INDEX(OHZ_HAZ_TOTAMOUNT,23,1)="",INDEX(OHZ_HAZ_DPGREF,23,1)="",INDEX(OHZ_HAZ_CONSIGNMENT,23,1)="",),FALSE,TRUE),TRUE)</f>
        <v>1</v>
      </c>
      <c r="K30" s="237" t="str">
        <f t="shared" si="2"/>
        <v>Row 23 - All mandatory fields must be given</v>
      </c>
      <c r="L30" s="236" t="s">
        <v>1853</v>
      </c>
      <c r="R30" s="52"/>
      <c r="S30" s="52"/>
      <c r="T30" s="52" t="s">
        <v>2115</v>
      </c>
      <c r="V30" s="52"/>
    </row>
    <row r="31" spans="1:22">
      <c r="A31" s="52"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s="52" t="s">
        <v>1961</v>
      </c>
      <c r="C31" s="236" t="s">
        <v>1853</v>
      </c>
      <c r="D31" s="52" t="b">
        <f>IF(OR(INDEX(WAS_ITE_CATEGORY,25,1)&lt;&gt;"",INDEX(WAS_ITE_TYPE,25,1)&lt;&gt;"",INDEX(WAS_ITE_TYPEDESCRI,25,1)&lt;&gt;"",INDEX(WAS_ITE_DELIVERED,25,1)&lt;&gt;"",INDEX(WAS_ITE_MAXSTORAG,25,1)&lt;&gt;"",INDEX(WAS_ITE_RETAINED,25,1)&lt;&gt;"",INDEX(WAS_ITE_REMAINING,25,1)&lt;&gt;"",INDEX(WAS_ITE_GENERATED,25,1)&lt;&gt;"",),IF(OR(INDEX(WAS_ITE_CATEGORY,25,1)="",INDEX(WAS_ITE_TYPE,25,1)="",INDEX(WAS_ITE_DELIVERED,25,1)="",INDEX(WAS_ITE_MAXSTORAG,25,1)="",INDEX(WAS_ITE_RETAINED,25,1)="",INDEX(WAS_ITE_GENERATED,25,1)="",INDEX(WAS_ITE_DELIVEREDU,25,1)="",INDEX(WAS_ITE_RETAINEDU,25,1)="",INDEX(WAS_ITE_GENERATEDU,25,1)="",INDEX(WAS_ITE_MAXSTORAGU,25,1)="",),FALSE,TRUE),TRUE)</f>
        <v>1</v>
      </c>
      <c r="E31" s="52" t="str">
        <f t="shared" si="0"/>
        <v>Row 25 - ‘Waste item’ information required</v>
      </c>
      <c r="F31" s="236" t="s">
        <v>1853</v>
      </c>
      <c r="G31" s="250" t="b">
        <f>IF(OR(INDEX(IHZ_HAZ_CONSIGNMENT,24,1)&lt;&gt;"",INDEX(IHZ_HAZ_TRANSDOCID,24,1)&lt;&gt;"",INDEX(IHZ_HAZ_PORTOFLOADING,24,1)&lt;&gt;"",INDEX(IHZ_HAZ_PORTOFDISCHARGE,24,1)&lt;&gt;"",INDEX(IHZ_HAZ_DPGREF,24,1)&lt;&gt;"",INDEX(IHZ_HAZ_DGCLASSIFI,24,1)&lt;&gt;"",INDEX(IHZ_HAZ_TEXTUALREF,24,1)&lt;&gt;"",INDEX(IHZ_HAZ_IMOHAZARDC,24,1)&lt;&gt;"",INDEX(IHZ_HAZ_UNNUMBER,24,1)&lt;&gt;"",INDEX(IHZ_HAZ_TOTAMOUNT,24,1)&lt;&gt;"",INDEX(IHZ_HAZ_PACKINGGRO,24,1)&lt;&gt;"",INDEX(IHZ_HAZ_FLASHPOINT,24,1)&lt;&gt;"",INDEX(IHZ_HAZ_MARPOLCODE,24,1)&lt;&gt;"",INDEX(IHZ_HAZ_PACTYPE,24,1)&lt;&gt;"",INDEX(IHZ_HAZ_TOTALPACKA,24,1)&lt;&gt;"",INDEX(IHZ_HAZ_ADDITIONAL,24,1)&lt;&gt;"",INDEX(IHZ_HAZ_EMS,24,1)&lt;&gt;"",INDEX(IHZ_HAZ_SUBSIDIARY,24,1)&lt;&gt;"",INDEX(IHZ_HAZ_UNITTYPE,24,1)&lt;&gt;"",INDEX(IHZ_HAZ_TEUID,24,1)&lt;&gt;"",INDEX(IHZ_HAZ_LOCATION,24,1)&lt;&gt;"",INDEX(IHZ_HAZ_PACKAGES,24,1)&lt;&gt;"",INDEX(IHZ_HAZ_AMOUNT,24,1)&lt;&gt;"",),IF(OR(INDEX(IHZ_HAZ_DGCLASSIFI,24,1)="",INDEX(IHZ_HAZ_TEXTUALREF,24,1)="",INDEX(IHZ_HAZ_TOTAMOUNT,24,1)="",INDEX(IHZ_HAZ_DPGREF,24,1)="",INDEX(IHZ_HAZ_CONSIGNMENT,24,1)="",),FALSE,TRUE),TRUE)</f>
        <v>1</v>
      </c>
      <c r="H31" s="237" t="str">
        <f t="shared" si="1"/>
        <v>Row 24 - All mandatory fields must be given</v>
      </c>
      <c r="I31" s="236" t="s">
        <v>1853</v>
      </c>
      <c r="J31" s="52" t="b">
        <f>IF(OR(INDEX(OHZ_HAZ_CONSIGNMENT,24,1)&lt;&gt;"",INDEX(OHZ_HAZ_TRANSDOCID,24,1)&lt;&gt;"",INDEX(OHZ_HAZ_PORTOFLOADING,24,1)&lt;&gt;"",INDEX(OHZ_HAZ_PORTOFDISCHARGE,24,1)&lt;&gt;"",INDEX(OHZ_HAZ_DPGREF,24,1)&lt;&gt;"",INDEX(OHZ_HAZ_DGCLASSIFI,24,1)&lt;&gt;"",INDEX(OHZ_HAZ_TEXTUALREF,24,1)&lt;&gt;"",INDEX(OHZ_HAZ_IMOHAZARDC,24,1)&lt;&gt;"",INDEX(OHZ_HAZ_UNNUMBER,24,1)&lt;&gt;"",INDEX(OHZ_HAZ_TOTAMOUNT,24,1)&lt;&gt;"",INDEX(OHZ_HAZ_PACKINGGRO,24,1)&lt;&gt;"",INDEX(OHZ_HAZ_FLASHPOINT,24,1)&lt;&gt;"",INDEX(OHZ_HAZ_MARPOLCODE,24,1)&lt;&gt;"",INDEX(OHZ_HAZ_PACTYPE,24,1)&lt;&gt;"",INDEX(OHZ_HAZ_TOTALPACKA,24,1)&lt;&gt;"",INDEX(OHZ_HAZ_ADDITIONAL,24,1)&lt;&gt;"",INDEX(OHZ_HAZ_EMS,24,1)&lt;&gt;"",INDEX(OHZ_HAZ_SUBSIDIARY,24,1)&lt;&gt;"",INDEX(OHZ_HAZ_UNITTYPE,24,1)&lt;&gt;"",INDEX(OHZ_HAZ_TEUID,24,1)&lt;&gt;"",INDEX(OHZ_HAZ_LOCATION,24,1)&lt;&gt;"",INDEX(OHZ_HAZ_PACKAGES,24,1)&lt;&gt;"",INDEX(OHZ_HAZ_AMOUNT,24,1)&lt;&gt;"",),IF(OR(INDEX(OHZ_HAZ_DGCLASSIFI,24,1)="",INDEX(OHZ_HAZ_TEXTUALREF,24,1)="",INDEX(OHZ_HAZ_TOTAMOUNT,24,1)="",INDEX(OHZ_HAZ_DPGREF,24,1)="",INDEX(OHZ_HAZ_CONSIGNMENT,24,1)="",),FALSE,TRUE),TRUE)</f>
        <v>1</v>
      </c>
      <c r="K31" s="237" t="str">
        <f t="shared" si="2"/>
        <v>Row 24 - All mandatory fields must be given</v>
      </c>
      <c r="L31" s="236" t="s">
        <v>1853</v>
      </c>
      <c r="R31" s="52"/>
      <c r="S31" s="52"/>
      <c r="T31" s="52" t="s">
        <v>2116</v>
      </c>
      <c r="V31" s="52"/>
    </row>
    <row r="32" spans="1:22">
      <c r="A32" s="5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s="52" t="s">
        <v>1962</v>
      </c>
      <c r="C32" s="236" t="s">
        <v>1853</v>
      </c>
      <c r="D32" s="52" t="b">
        <f>IF(OR(INDEX(WAS_ITE_CATEGORY,26,1)&lt;&gt;"",INDEX(WAS_ITE_TYPE,26,1)&lt;&gt;"",INDEX(WAS_ITE_TYPEDESCRI,26,1)&lt;&gt;"",INDEX(WAS_ITE_DELIVERED,26,1)&lt;&gt;"",INDEX(WAS_ITE_MAXSTORAG,26,1)&lt;&gt;"",INDEX(WAS_ITE_RETAINED,26,1)&lt;&gt;"",INDEX(WAS_ITE_REMAINING,26,1)&lt;&gt;"",INDEX(WAS_ITE_GENERATED,26,1)&lt;&gt;"",),IF(OR(INDEX(WAS_ITE_CATEGORY,26,1)="",INDEX(WAS_ITE_TYPE,26,1)="",INDEX(WAS_ITE_DELIVERED,26,1)="",INDEX(WAS_ITE_MAXSTORAG,26,1)="",INDEX(WAS_ITE_RETAINED,26,1)="",INDEX(WAS_ITE_GENERATED,26,1)="",INDEX(WAS_ITE_DELIVEREDU,26,1)="",INDEX(WAS_ITE_RETAINEDU,26,1)="",INDEX(WAS_ITE_GENERATEDU,26,1)="",INDEX(WAS_ITE_MAXSTORAGU,26,1)="",),FALSE,TRUE),TRUE)</f>
        <v>1</v>
      </c>
      <c r="E32" s="52" t="str">
        <f t="shared" si="0"/>
        <v>Row 26 - ‘Waste item’ information required</v>
      </c>
      <c r="F32" s="236" t="s">
        <v>1853</v>
      </c>
      <c r="G32" s="250" t="b">
        <f>IF(OR(INDEX(IHZ_HAZ_CONSIGNMENT,25,1)&lt;&gt;"",INDEX(IHZ_HAZ_TRANSDOCID,25,1)&lt;&gt;"",INDEX(IHZ_HAZ_PORTOFLOADING,25,1)&lt;&gt;"",INDEX(IHZ_HAZ_PORTOFDISCHARGE,25,1)&lt;&gt;"",INDEX(IHZ_HAZ_DPGREF,25,1)&lt;&gt;"",INDEX(IHZ_HAZ_DGCLASSIFI,25,1)&lt;&gt;"",INDEX(IHZ_HAZ_TEXTUALREF,25,1)&lt;&gt;"",INDEX(IHZ_HAZ_IMOHAZARDC,25,1)&lt;&gt;"",INDEX(IHZ_HAZ_UNNUMBER,25,1)&lt;&gt;"",INDEX(IHZ_HAZ_TOTAMOUNT,25,1)&lt;&gt;"",INDEX(IHZ_HAZ_PACKINGGRO,25,1)&lt;&gt;"",INDEX(IHZ_HAZ_FLASHPOINT,25,1)&lt;&gt;"",INDEX(IHZ_HAZ_MARPOLCODE,25,1)&lt;&gt;"",INDEX(IHZ_HAZ_PACTYPE,25,1)&lt;&gt;"",INDEX(IHZ_HAZ_TOTALPACKA,25,1)&lt;&gt;"",INDEX(IHZ_HAZ_ADDITIONAL,25,1)&lt;&gt;"",INDEX(IHZ_HAZ_EMS,25,1)&lt;&gt;"",INDEX(IHZ_HAZ_SUBSIDIARY,25,1)&lt;&gt;"",INDEX(IHZ_HAZ_UNITTYPE,25,1)&lt;&gt;"",INDEX(IHZ_HAZ_TEUID,25,1)&lt;&gt;"",INDEX(IHZ_HAZ_LOCATION,25,1)&lt;&gt;"",INDEX(IHZ_HAZ_PACKAGES,25,1)&lt;&gt;"",INDEX(IHZ_HAZ_AMOUNT,25,1)&lt;&gt;"",),IF(OR(INDEX(IHZ_HAZ_DGCLASSIFI,25,1)="",INDEX(IHZ_HAZ_TEXTUALREF,25,1)="",INDEX(IHZ_HAZ_TOTAMOUNT,25,1)="",INDEX(IHZ_HAZ_DPGREF,25,1)="",INDEX(IHZ_HAZ_CONSIGNMENT,25,1)="",),FALSE,TRUE),TRUE)</f>
        <v>1</v>
      </c>
      <c r="H32" s="237" t="str">
        <f t="shared" si="1"/>
        <v>Row 25 - All mandatory fields must be given</v>
      </c>
      <c r="I32" s="236" t="s">
        <v>1853</v>
      </c>
      <c r="J32" s="52" t="b">
        <f>IF(OR(INDEX(OHZ_HAZ_CONSIGNMENT,25,1)&lt;&gt;"",INDEX(OHZ_HAZ_TRANSDOCID,25,1)&lt;&gt;"",INDEX(OHZ_HAZ_PORTOFLOADING,25,1)&lt;&gt;"",INDEX(OHZ_HAZ_PORTOFDISCHARGE,25,1)&lt;&gt;"",INDEX(OHZ_HAZ_DPGREF,25,1)&lt;&gt;"",INDEX(OHZ_HAZ_DGCLASSIFI,25,1)&lt;&gt;"",INDEX(OHZ_HAZ_TEXTUALREF,25,1)&lt;&gt;"",INDEX(OHZ_HAZ_IMOHAZARDC,25,1)&lt;&gt;"",INDEX(OHZ_HAZ_UNNUMBER,25,1)&lt;&gt;"",INDEX(OHZ_HAZ_TOTAMOUNT,25,1)&lt;&gt;"",INDEX(OHZ_HAZ_PACKINGGRO,25,1)&lt;&gt;"",INDEX(OHZ_HAZ_FLASHPOINT,25,1)&lt;&gt;"",INDEX(OHZ_HAZ_MARPOLCODE,25,1)&lt;&gt;"",INDEX(OHZ_HAZ_PACTYPE,25,1)&lt;&gt;"",INDEX(OHZ_HAZ_TOTALPACKA,25,1)&lt;&gt;"",INDEX(OHZ_HAZ_ADDITIONAL,25,1)&lt;&gt;"",INDEX(OHZ_HAZ_EMS,25,1)&lt;&gt;"",INDEX(OHZ_HAZ_SUBSIDIARY,25,1)&lt;&gt;"",INDEX(OHZ_HAZ_UNITTYPE,25,1)&lt;&gt;"",INDEX(OHZ_HAZ_TEUID,25,1)&lt;&gt;"",INDEX(OHZ_HAZ_LOCATION,25,1)&lt;&gt;"",INDEX(OHZ_HAZ_PACKAGES,25,1)&lt;&gt;"",INDEX(OHZ_HAZ_AMOUNT,25,1)&lt;&gt;"",),IF(OR(INDEX(OHZ_HAZ_DGCLASSIFI,25,1)="",INDEX(OHZ_HAZ_TEXTUALREF,25,1)="",INDEX(OHZ_HAZ_TOTAMOUNT,25,1)="",INDEX(OHZ_HAZ_DPGREF,25,1)="",INDEX(OHZ_HAZ_CONSIGNMENT,25,1)="",),FALSE,TRUE),TRUE)</f>
        <v>1</v>
      </c>
      <c r="K32" s="237" t="str">
        <f t="shared" si="2"/>
        <v>Row 25 - All mandatory fields must be given</v>
      </c>
      <c r="L32" s="236" t="s">
        <v>1853</v>
      </c>
      <c r="R32" s="52"/>
      <c r="S32" s="52"/>
      <c r="T32" s="52" t="s">
        <v>2117</v>
      </c>
      <c r="V32" s="52"/>
    </row>
    <row r="33" spans="1:22">
      <c r="A33" s="313"/>
      <c r="B33" s="314"/>
      <c r="C33" s="236" t="s">
        <v>1853</v>
      </c>
      <c r="D33" s="52" t="b">
        <f>IF(OR(INDEX(WAS_ITE_CATEGORY,27,1)&lt;&gt;"",INDEX(WAS_ITE_TYPE,27,1)&lt;&gt;"",INDEX(WAS_ITE_TYPEDESCRI,27,1)&lt;&gt;"",INDEX(WAS_ITE_DELIVERED,27,1)&lt;&gt;"",INDEX(WAS_ITE_MAXSTORAG,27,1)&lt;&gt;"",INDEX(WAS_ITE_RETAINED,27,1)&lt;&gt;"",INDEX(WAS_ITE_REMAINING,27,1)&lt;&gt;"",INDEX(WAS_ITE_GENERATED,27,1)&lt;&gt;"",),IF(OR(INDEX(WAS_ITE_CATEGORY,27,1)="",INDEX(WAS_ITE_TYPE,27,1)="",INDEX(WAS_ITE_DELIVERED,27,1)="",INDEX(WAS_ITE_MAXSTORAG,27,1)="",INDEX(WAS_ITE_RETAINED,27,1)="",INDEX(WAS_ITE_GENERATED,27,1)="",INDEX(WAS_ITE_DELIVEREDU,27,1)="",INDEX(WAS_ITE_RETAINEDU,27,1)="",INDEX(WAS_ITE_GENERATEDU,27,1)="",INDEX(WAS_ITE_MAXSTORAGU,27,1)="",),FALSE,TRUE),TRUE)</f>
        <v>1</v>
      </c>
      <c r="E33" s="52" t="str">
        <f t="shared" si="0"/>
        <v>Row 27 - ‘Waste item’ information required</v>
      </c>
      <c r="F33" s="236" t="s">
        <v>1853</v>
      </c>
      <c r="G33" s="250" t="b">
        <f>IF(OR(INDEX(IHZ_HAZ_CONSIGNMENT,26,1)&lt;&gt;"",INDEX(IHZ_HAZ_TRANSDOCID,26,1)&lt;&gt;"",INDEX(IHZ_HAZ_PORTOFLOADING,26,1)&lt;&gt;"",INDEX(IHZ_HAZ_PORTOFDISCHARGE,26,1)&lt;&gt;"",INDEX(IHZ_HAZ_DPGREF,26,1)&lt;&gt;"",INDEX(IHZ_HAZ_DGCLASSIFI,26,1)&lt;&gt;"",INDEX(IHZ_HAZ_TEXTUALREF,26,1)&lt;&gt;"",INDEX(IHZ_HAZ_IMOHAZARDC,26,1)&lt;&gt;"",INDEX(IHZ_HAZ_UNNUMBER,26,1)&lt;&gt;"",INDEX(IHZ_HAZ_TOTAMOUNT,26,1)&lt;&gt;"",INDEX(IHZ_HAZ_PACKINGGRO,26,1)&lt;&gt;"",INDEX(IHZ_HAZ_FLASHPOINT,26,1)&lt;&gt;"",INDEX(IHZ_HAZ_MARPOLCODE,26,1)&lt;&gt;"",INDEX(IHZ_HAZ_PACTYPE,26,1)&lt;&gt;"",INDEX(IHZ_HAZ_TOTALPACKA,26,1)&lt;&gt;"",INDEX(IHZ_HAZ_ADDITIONAL,26,1)&lt;&gt;"",INDEX(IHZ_HAZ_EMS,26,1)&lt;&gt;"",INDEX(IHZ_HAZ_SUBSIDIARY,26,1)&lt;&gt;"",INDEX(IHZ_HAZ_UNITTYPE,26,1)&lt;&gt;"",INDEX(IHZ_HAZ_TEUID,26,1)&lt;&gt;"",INDEX(IHZ_HAZ_LOCATION,26,1)&lt;&gt;"",INDEX(IHZ_HAZ_PACKAGES,26,1)&lt;&gt;"",INDEX(IHZ_HAZ_AMOUNT,26,1)&lt;&gt;"",),IF(OR(INDEX(IHZ_HAZ_DGCLASSIFI,26,1)="",INDEX(IHZ_HAZ_TEXTUALREF,26,1)="",INDEX(IHZ_HAZ_TOTAMOUNT,26,1)="",INDEX(IHZ_HAZ_DPGREF,26,1)="",INDEX(IHZ_HAZ_CONSIGNMENT,26,1)="",),FALSE,TRUE),TRUE)</f>
        <v>1</v>
      </c>
      <c r="H33" s="237" t="str">
        <f t="shared" si="1"/>
        <v>Row 26 - All mandatory fields must be given</v>
      </c>
      <c r="I33" s="236" t="s">
        <v>1853</v>
      </c>
      <c r="J33" s="52" t="b">
        <f>IF(OR(INDEX(OHZ_HAZ_CONSIGNMENT,26,1)&lt;&gt;"",INDEX(OHZ_HAZ_TRANSDOCID,26,1)&lt;&gt;"",INDEX(OHZ_HAZ_PORTOFLOADING,26,1)&lt;&gt;"",INDEX(OHZ_HAZ_PORTOFDISCHARGE,26,1)&lt;&gt;"",INDEX(OHZ_HAZ_DPGREF,26,1)&lt;&gt;"",INDEX(OHZ_HAZ_DGCLASSIFI,26,1)&lt;&gt;"",INDEX(OHZ_HAZ_TEXTUALREF,26,1)&lt;&gt;"",INDEX(OHZ_HAZ_IMOHAZARDC,26,1)&lt;&gt;"",INDEX(OHZ_HAZ_UNNUMBER,26,1)&lt;&gt;"",INDEX(OHZ_HAZ_TOTAMOUNT,26,1)&lt;&gt;"",INDEX(OHZ_HAZ_PACKINGGRO,26,1)&lt;&gt;"",INDEX(OHZ_HAZ_FLASHPOINT,26,1)&lt;&gt;"",INDEX(OHZ_HAZ_MARPOLCODE,26,1)&lt;&gt;"",INDEX(OHZ_HAZ_PACTYPE,26,1)&lt;&gt;"",INDEX(OHZ_HAZ_TOTALPACKA,26,1)&lt;&gt;"",INDEX(OHZ_HAZ_ADDITIONAL,26,1)&lt;&gt;"",INDEX(OHZ_HAZ_EMS,26,1)&lt;&gt;"",INDEX(OHZ_HAZ_SUBSIDIARY,26,1)&lt;&gt;"",INDEX(OHZ_HAZ_UNITTYPE,26,1)&lt;&gt;"",INDEX(OHZ_HAZ_TEUID,26,1)&lt;&gt;"",INDEX(OHZ_HAZ_LOCATION,26,1)&lt;&gt;"",INDEX(OHZ_HAZ_PACKAGES,26,1)&lt;&gt;"",INDEX(OHZ_HAZ_AMOUNT,26,1)&lt;&gt;"",),IF(OR(INDEX(OHZ_HAZ_DGCLASSIFI,26,1)="",INDEX(OHZ_HAZ_TEXTUALREF,26,1)="",INDEX(OHZ_HAZ_TOTAMOUNT,26,1)="",INDEX(OHZ_HAZ_DPGREF,26,1)="",INDEX(OHZ_HAZ_CONSIGNMENT,26,1)="",),FALSE,TRUE),TRUE)</f>
        <v>1</v>
      </c>
      <c r="K33" s="237" t="str">
        <f t="shared" si="2"/>
        <v>Row 26 - All mandatory fields must be given</v>
      </c>
      <c r="L33" s="236" t="s">
        <v>1853</v>
      </c>
      <c r="R33" s="52"/>
      <c r="S33" s="52"/>
      <c r="T33" s="52" t="s">
        <v>2118</v>
      </c>
      <c r="V33" s="52"/>
    </row>
    <row r="34" spans="1:22">
      <c r="A34" s="313" t="b">
        <f>LEN(SEC_AVD_REPSHIPLOC)&lt;256</f>
        <v>1</v>
      </c>
      <c r="B34" s="313" t="s">
        <v>2011</v>
      </c>
      <c r="C34" s="236" t="s">
        <v>1853</v>
      </c>
      <c r="D34" s="52" t="b">
        <f>IF(OR(INDEX(WAS_ITE_CATEGORY,28,1)&lt;&gt;"",INDEX(WAS_ITE_TYPE,28,1)&lt;&gt;"",INDEX(WAS_ITE_TYPEDESCRI,28,1)&lt;&gt;"",INDEX(WAS_ITE_DELIVERED,28,1)&lt;&gt;"",INDEX(WAS_ITE_MAXSTORAG,28,1)&lt;&gt;"",INDEX(WAS_ITE_RETAINED,28,1)&lt;&gt;"",INDEX(WAS_ITE_REMAINING,28,1)&lt;&gt;"",INDEX(WAS_ITE_GENERATED,28,1)&lt;&gt;"",),IF(OR(INDEX(WAS_ITE_CATEGORY,28,1)="",INDEX(WAS_ITE_TYPE,28,1)="",INDEX(WAS_ITE_DELIVERED,28,1)="",INDEX(WAS_ITE_MAXSTORAG,28,1)="",INDEX(WAS_ITE_RETAINED,28,1)="",INDEX(WAS_ITE_GENERATED,28,1)="",INDEX(WAS_ITE_DELIVEREDU,28,1)="",INDEX(WAS_ITE_RETAINEDU,28,1)="",INDEX(WAS_ITE_GENERATEDU,28,1)="",INDEX(WAS_ITE_MAXSTORAGU,28,1)="",),FALSE,TRUE),TRUE)</f>
        <v>1</v>
      </c>
      <c r="E34" s="52" t="str">
        <f t="shared" si="0"/>
        <v>Row 28 - ‘Waste item’ information required</v>
      </c>
      <c r="F34" s="236" t="s">
        <v>1853</v>
      </c>
      <c r="G34" s="250" t="b">
        <f>IF(OR(INDEX(IHZ_HAZ_CONSIGNMENT,27,1)&lt;&gt;"",INDEX(IHZ_HAZ_TRANSDOCID,27,1)&lt;&gt;"",INDEX(IHZ_HAZ_PORTOFLOADING,27,1)&lt;&gt;"",INDEX(IHZ_HAZ_PORTOFDISCHARGE,27,1)&lt;&gt;"",INDEX(IHZ_HAZ_DPGREF,27,1)&lt;&gt;"",INDEX(IHZ_HAZ_DGCLASSIFI,27,1)&lt;&gt;"",INDEX(IHZ_HAZ_TEXTUALREF,27,1)&lt;&gt;"",INDEX(IHZ_HAZ_IMOHAZARDC,27,1)&lt;&gt;"",INDEX(IHZ_HAZ_UNNUMBER,27,1)&lt;&gt;"",INDEX(IHZ_HAZ_TOTAMOUNT,27,1)&lt;&gt;"",INDEX(IHZ_HAZ_PACKINGGRO,27,1)&lt;&gt;"",INDEX(IHZ_HAZ_FLASHPOINT,27,1)&lt;&gt;"",INDEX(IHZ_HAZ_MARPOLCODE,27,1)&lt;&gt;"",INDEX(IHZ_HAZ_PACTYPE,27,1)&lt;&gt;"",INDEX(IHZ_HAZ_TOTALPACKA,27,1)&lt;&gt;"",INDEX(IHZ_HAZ_ADDITIONAL,27,1)&lt;&gt;"",INDEX(IHZ_HAZ_EMS,27,1)&lt;&gt;"",INDEX(IHZ_HAZ_SUBSIDIARY,27,1)&lt;&gt;"",INDEX(IHZ_HAZ_UNITTYPE,27,1)&lt;&gt;"",INDEX(IHZ_HAZ_TEUID,27,1)&lt;&gt;"",INDEX(IHZ_HAZ_LOCATION,27,1)&lt;&gt;"",INDEX(IHZ_HAZ_PACKAGES,27,1)&lt;&gt;"",INDEX(IHZ_HAZ_AMOUNT,27,1)&lt;&gt;"",),IF(OR(INDEX(IHZ_HAZ_DGCLASSIFI,27,1)="",INDEX(IHZ_HAZ_TEXTUALREF,27,1)="",INDEX(IHZ_HAZ_TOTAMOUNT,27,1)="",INDEX(IHZ_HAZ_DPGREF,27,1)="",INDEX(IHZ_HAZ_CONSIGNMENT,27,1)="",),FALSE,TRUE),TRUE)</f>
        <v>1</v>
      </c>
      <c r="H34" s="237" t="str">
        <f t="shared" si="1"/>
        <v>Row 27 - All mandatory fields must be given</v>
      </c>
      <c r="I34" s="236" t="s">
        <v>1853</v>
      </c>
      <c r="J34" s="52" t="b">
        <f>IF(OR(INDEX(OHZ_HAZ_CONSIGNMENT,27,1)&lt;&gt;"",INDEX(OHZ_HAZ_TRANSDOCID,27,1)&lt;&gt;"",INDEX(OHZ_HAZ_PORTOFLOADING,27,1)&lt;&gt;"",INDEX(OHZ_HAZ_PORTOFDISCHARGE,27,1)&lt;&gt;"",INDEX(OHZ_HAZ_DPGREF,27,1)&lt;&gt;"",INDEX(OHZ_HAZ_DGCLASSIFI,27,1)&lt;&gt;"",INDEX(OHZ_HAZ_TEXTUALREF,27,1)&lt;&gt;"",INDEX(OHZ_HAZ_IMOHAZARDC,27,1)&lt;&gt;"",INDEX(OHZ_HAZ_UNNUMBER,27,1)&lt;&gt;"",INDEX(OHZ_HAZ_TOTAMOUNT,27,1)&lt;&gt;"",INDEX(OHZ_HAZ_PACKINGGRO,27,1)&lt;&gt;"",INDEX(OHZ_HAZ_FLASHPOINT,27,1)&lt;&gt;"",INDEX(OHZ_HAZ_MARPOLCODE,27,1)&lt;&gt;"",INDEX(OHZ_HAZ_PACTYPE,27,1)&lt;&gt;"",INDEX(OHZ_HAZ_TOTALPACKA,27,1)&lt;&gt;"",INDEX(OHZ_HAZ_ADDITIONAL,27,1)&lt;&gt;"",INDEX(OHZ_HAZ_EMS,27,1)&lt;&gt;"",INDEX(OHZ_HAZ_SUBSIDIARY,27,1)&lt;&gt;"",INDEX(OHZ_HAZ_UNITTYPE,27,1)&lt;&gt;"",INDEX(OHZ_HAZ_TEUID,27,1)&lt;&gt;"",INDEX(OHZ_HAZ_LOCATION,27,1)&lt;&gt;"",INDEX(OHZ_HAZ_PACKAGES,27,1)&lt;&gt;"",INDEX(OHZ_HAZ_AMOUNT,27,1)&lt;&gt;"",),IF(OR(INDEX(OHZ_HAZ_DGCLASSIFI,27,1)="",INDEX(OHZ_HAZ_TEXTUALREF,27,1)="",INDEX(OHZ_HAZ_TOTAMOUNT,27,1)="",INDEX(OHZ_HAZ_DPGREF,27,1)="",INDEX(OHZ_HAZ_CONSIGNMENT,27,1)="",),FALSE,TRUE),TRUE)</f>
        <v>1</v>
      </c>
      <c r="K34" s="237" t="str">
        <f t="shared" si="2"/>
        <v>Row 27 - All mandatory fields must be given</v>
      </c>
      <c r="L34" s="236" t="s">
        <v>1853</v>
      </c>
      <c r="R34" s="52"/>
      <c r="S34" s="52"/>
      <c r="T34" s="52" t="s">
        <v>2119</v>
      </c>
      <c r="V34" s="52"/>
    </row>
    <row r="35" spans="1:22">
      <c r="A35" s="313" t="b">
        <f>LEN(SEC_CSO_FIRSTNAME)&lt;50</f>
        <v>1</v>
      </c>
      <c r="B35" s="313" t="s">
        <v>2012</v>
      </c>
      <c r="C35" s="236" t="s">
        <v>1853</v>
      </c>
      <c r="D35" s="52" t="b">
        <f>IF(OR(INDEX(WAS_ITE_CATEGORY,29,1)&lt;&gt;"",INDEX(WAS_ITE_TYPE,29,1)&lt;&gt;"",INDEX(WAS_ITE_TYPEDESCRI,29,1)&lt;&gt;"",INDEX(WAS_ITE_DELIVERED,29,1)&lt;&gt;"",INDEX(WAS_ITE_MAXSTORAG,29,1)&lt;&gt;"",INDEX(WAS_ITE_RETAINED,29,1)&lt;&gt;"",INDEX(WAS_ITE_REMAINING,29,1)&lt;&gt;"",INDEX(WAS_ITE_GENERATED,29,1)&lt;&gt;"",),IF(OR(INDEX(WAS_ITE_CATEGORY,29,1)="",INDEX(WAS_ITE_TYPE,29,1)="",INDEX(WAS_ITE_DELIVERED,29,1)="",INDEX(WAS_ITE_MAXSTORAG,29,1)="",INDEX(WAS_ITE_RETAINED,29,1)="",INDEX(WAS_ITE_GENERATED,29,1)="",INDEX(WAS_ITE_DELIVEREDU,29,1)="",INDEX(WAS_ITE_RETAINEDU,29,1)="",INDEX(WAS_ITE_GENERATEDU,29,1)="",INDEX(WAS_ITE_MAXSTORAGU,29,1)="",),FALSE,TRUE),TRUE)</f>
        <v>1</v>
      </c>
      <c r="E35" s="52" t="str">
        <f t="shared" si="0"/>
        <v>Row 29 - ‘Waste item’ information required</v>
      </c>
      <c r="F35" s="236" t="s">
        <v>1853</v>
      </c>
      <c r="G35" s="250" t="b">
        <f>IF(OR(INDEX(IHZ_HAZ_CONSIGNMENT,28,1)&lt;&gt;"",INDEX(IHZ_HAZ_TRANSDOCID,28,1)&lt;&gt;"",INDEX(IHZ_HAZ_PORTOFLOADING,28,1)&lt;&gt;"",INDEX(IHZ_HAZ_PORTOFDISCHARGE,28,1)&lt;&gt;"",INDEX(IHZ_HAZ_DPGREF,28,1)&lt;&gt;"",INDEX(IHZ_HAZ_DGCLASSIFI,28,1)&lt;&gt;"",INDEX(IHZ_HAZ_TEXTUALREF,28,1)&lt;&gt;"",INDEX(IHZ_HAZ_IMOHAZARDC,28,1)&lt;&gt;"",INDEX(IHZ_HAZ_UNNUMBER,28,1)&lt;&gt;"",INDEX(IHZ_HAZ_TOTAMOUNT,28,1)&lt;&gt;"",INDEX(IHZ_HAZ_PACKINGGRO,28,1)&lt;&gt;"",INDEX(IHZ_HAZ_FLASHPOINT,28,1)&lt;&gt;"",INDEX(IHZ_HAZ_MARPOLCODE,28,1)&lt;&gt;"",INDEX(IHZ_HAZ_PACTYPE,28,1)&lt;&gt;"",INDEX(IHZ_HAZ_TOTALPACKA,28,1)&lt;&gt;"",INDEX(IHZ_HAZ_ADDITIONAL,28,1)&lt;&gt;"",INDEX(IHZ_HAZ_EMS,28,1)&lt;&gt;"",INDEX(IHZ_HAZ_SUBSIDIARY,28,1)&lt;&gt;"",INDEX(IHZ_HAZ_UNITTYPE,28,1)&lt;&gt;"",INDEX(IHZ_HAZ_TEUID,28,1)&lt;&gt;"",INDEX(IHZ_HAZ_LOCATION,28,1)&lt;&gt;"",INDEX(IHZ_HAZ_PACKAGES,28,1)&lt;&gt;"",INDEX(IHZ_HAZ_AMOUNT,28,1)&lt;&gt;"",),IF(OR(INDEX(IHZ_HAZ_DGCLASSIFI,28,1)="",INDEX(IHZ_HAZ_TEXTUALREF,28,1)="",INDEX(IHZ_HAZ_TOTAMOUNT,28,1)="",INDEX(IHZ_HAZ_DPGREF,28,1)="",INDEX(IHZ_HAZ_CONSIGNMENT,28,1)="",),FALSE,TRUE),TRUE)</f>
        <v>1</v>
      </c>
      <c r="H35" s="237" t="str">
        <f t="shared" si="1"/>
        <v>Row 28 - All mandatory fields must be given</v>
      </c>
      <c r="I35" s="236" t="s">
        <v>1853</v>
      </c>
      <c r="J35" s="52" t="b">
        <f>IF(OR(INDEX(OHZ_HAZ_CONSIGNMENT,28,1)&lt;&gt;"",INDEX(OHZ_HAZ_TRANSDOCID,28,1)&lt;&gt;"",INDEX(OHZ_HAZ_PORTOFLOADING,28,1)&lt;&gt;"",INDEX(OHZ_HAZ_PORTOFDISCHARGE,28,1)&lt;&gt;"",INDEX(OHZ_HAZ_DPGREF,28,1)&lt;&gt;"",INDEX(OHZ_HAZ_DGCLASSIFI,28,1)&lt;&gt;"",INDEX(OHZ_HAZ_TEXTUALREF,28,1)&lt;&gt;"",INDEX(OHZ_HAZ_IMOHAZARDC,28,1)&lt;&gt;"",INDEX(OHZ_HAZ_UNNUMBER,28,1)&lt;&gt;"",INDEX(OHZ_HAZ_TOTAMOUNT,28,1)&lt;&gt;"",INDEX(OHZ_HAZ_PACKINGGRO,28,1)&lt;&gt;"",INDEX(OHZ_HAZ_FLASHPOINT,28,1)&lt;&gt;"",INDEX(OHZ_HAZ_MARPOLCODE,28,1)&lt;&gt;"",INDEX(OHZ_HAZ_PACTYPE,28,1)&lt;&gt;"",INDEX(OHZ_HAZ_TOTALPACKA,28,1)&lt;&gt;"",INDEX(OHZ_HAZ_ADDITIONAL,28,1)&lt;&gt;"",INDEX(OHZ_HAZ_EMS,28,1)&lt;&gt;"",INDEX(OHZ_HAZ_SUBSIDIARY,28,1)&lt;&gt;"",INDEX(OHZ_HAZ_UNITTYPE,28,1)&lt;&gt;"",INDEX(OHZ_HAZ_TEUID,28,1)&lt;&gt;"",INDEX(OHZ_HAZ_LOCATION,28,1)&lt;&gt;"",INDEX(OHZ_HAZ_PACKAGES,28,1)&lt;&gt;"",INDEX(OHZ_HAZ_AMOUNT,28,1)&lt;&gt;"",),IF(OR(INDEX(OHZ_HAZ_DGCLASSIFI,28,1)="",INDEX(OHZ_HAZ_TEXTUALREF,28,1)="",INDEX(OHZ_HAZ_TOTAMOUNT,28,1)="",INDEX(OHZ_HAZ_DPGREF,28,1)="",INDEX(OHZ_HAZ_CONSIGNMENT,28,1)="",),FALSE,TRUE),TRUE)</f>
        <v>1</v>
      </c>
      <c r="K35" s="237" t="str">
        <f t="shared" si="2"/>
        <v>Row 28 - All mandatory fields must be given</v>
      </c>
      <c r="L35" s="236" t="s">
        <v>1853</v>
      </c>
      <c r="R35" s="52"/>
      <c r="S35" s="52"/>
      <c r="T35" s="52" t="s">
        <v>2120</v>
      </c>
      <c r="V35" s="52"/>
    </row>
    <row r="36" spans="1:22">
      <c r="A36" s="313" t="b">
        <f>LEN(SEC_CSO_LASTNAME)&lt;256</f>
        <v>1</v>
      </c>
      <c r="B36" s="313" t="s">
        <v>2013</v>
      </c>
      <c r="C36" s="236" t="s">
        <v>1853</v>
      </c>
      <c r="D36" s="52" t="b">
        <f>IF(OR(INDEX(WAS_ITE_CATEGORY,30,1)&lt;&gt;"",INDEX(WAS_ITE_TYPE,30,1)&lt;&gt;"",INDEX(WAS_ITE_TYPEDESCRI,30,1)&lt;&gt;"",INDEX(WAS_ITE_DELIVERED,30,1)&lt;&gt;"",INDEX(WAS_ITE_MAXSTORAG,30,1)&lt;&gt;"",INDEX(WAS_ITE_RETAINED,30,1)&lt;&gt;"",INDEX(WAS_ITE_REMAINING,30,1)&lt;&gt;"",INDEX(WAS_ITE_GENERATED,30,1)&lt;&gt;"",),IF(OR(INDEX(WAS_ITE_CATEGORY,30,1)="",INDEX(WAS_ITE_TYPE,30,1)="",INDEX(WAS_ITE_DELIVERED,30,1)="",INDEX(WAS_ITE_MAXSTORAG,30,1)="",INDEX(WAS_ITE_RETAINED,30,1)="",INDEX(WAS_ITE_GENERATED,30,1)="",INDEX(WAS_ITE_DELIVEREDU,30,1)="",INDEX(WAS_ITE_RETAINEDU,30,1)="",INDEX(WAS_ITE_GENERATEDU,30,1)="",INDEX(WAS_ITE_MAXSTORAGU,30,1)="",),FALSE,TRUE),TRUE)</f>
        <v>1</v>
      </c>
      <c r="E36" s="52" t="str">
        <f t="shared" si="0"/>
        <v>Row 30 - ‘Waste item’ information required</v>
      </c>
      <c r="F36" s="236" t="s">
        <v>1853</v>
      </c>
      <c r="G36" s="250" t="b">
        <f>IF(OR(INDEX(IHZ_HAZ_CONSIGNMENT,29,1)&lt;&gt;"",INDEX(IHZ_HAZ_TRANSDOCID,29,1)&lt;&gt;"",INDEX(IHZ_HAZ_PORTOFLOADING,29,1)&lt;&gt;"",INDEX(IHZ_HAZ_PORTOFDISCHARGE,29,1)&lt;&gt;"",INDEX(IHZ_HAZ_DPGREF,29,1)&lt;&gt;"",INDEX(IHZ_HAZ_DGCLASSIFI,29,1)&lt;&gt;"",INDEX(IHZ_HAZ_TEXTUALREF,29,1)&lt;&gt;"",INDEX(IHZ_HAZ_IMOHAZARDC,29,1)&lt;&gt;"",INDEX(IHZ_HAZ_UNNUMBER,29,1)&lt;&gt;"",INDEX(IHZ_HAZ_TOTAMOUNT,29,1)&lt;&gt;"",INDEX(IHZ_HAZ_PACKINGGRO,29,1)&lt;&gt;"",INDEX(IHZ_HAZ_FLASHPOINT,29,1)&lt;&gt;"",INDEX(IHZ_HAZ_MARPOLCODE,29,1)&lt;&gt;"",INDEX(IHZ_HAZ_PACTYPE,29,1)&lt;&gt;"",INDEX(IHZ_HAZ_TOTALPACKA,29,1)&lt;&gt;"",INDEX(IHZ_HAZ_ADDITIONAL,29,1)&lt;&gt;"",INDEX(IHZ_HAZ_EMS,29,1)&lt;&gt;"",INDEX(IHZ_HAZ_SUBSIDIARY,29,1)&lt;&gt;"",INDEX(IHZ_HAZ_UNITTYPE,29,1)&lt;&gt;"",INDEX(IHZ_HAZ_TEUID,29,1)&lt;&gt;"",INDEX(IHZ_HAZ_LOCATION,29,1)&lt;&gt;"",INDEX(IHZ_HAZ_PACKAGES,29,1)&lt;&gt;"",INDEX(IHZ_HAZ_AMOUNT,29,1)&lt;&gt;"",),IF(OR(INDEX(IHZ_HAZ_DGCLASSIFI,29,1)="",INDEX(IHZ_HAZ_TEXTUALREF,29,1)="",INDEX(IHZ_HAZ_TOTAMOUNT,29,1)="",INDEX(IHZ_HAZ_DPGREF,29,1)="",INDEX(IHZ_HAZ_CONSIGNMENT,29,1)="",),FALSE,TRUE),TRUE)</f>
        <v>1</v>
      </c>
      <c r="H36" s="237" t="str">
        <f t="shared" si="1"/>
        <v>Row 29 - All mandatory fields must be given</v>
      </c>
      <c r="I36" s="236" t="s">
        <v>1853</v>
      </c>
      <c r="J36" s="52" t="b">
        <f>IF(OR(INDEX(OHZ_HAZ_CONSIGNMENT,29,1)&lt;&gt;"",INDEX(OHZ_HAZ_TRANSDOCID,29,1)&lt;&gt;"",INDEX(OHZ_HAZ_PORTOFLOADING,29,1)&lt;&gt;"",INDEX(OHZ_HAZ_PORTOFDISCHARGE,29,1)&lt;&gt;"",INDEX(OHZ_HAZ_DPGREF,29,1)&lt;&gt;"",INDEX(OHZ_HAZ_DGCLASSIFI,29,1)&lt;&gt;"",INDEX(OHZ_HAZ_TEXTUALREF,29,1)&lt;&gt;"",INDEX(OHZ_HAZ_IMOHAZARDC,29,1)&lt;&gt;"",INDEX(OHZ_HAZ_UNNUMBER,29,1)&lt;&gt;"",INDEX(OHZ_HAZ_TOTAMOUNT,29,1)&lt;&gt;"",INDEX(OHZ_HAZ_PACKINGGRO,29,1)&lt;&gt;"",INDEX(OHZ_HAZ_FLASHPOINT,29,1)&lt;&gt;"",INDEX(OHZ_HAZ_MARPOLCODE,29,1)&lt;&gt;"",INDEX(OHZ_HAZ_PACTYPE,29,1)&lt;&gt;"",INDEX(OHZ_HAZ_TOTALPACKA,29,1)&lt;&gt;"",INDEX(OHZ_HAZ_ADDITIONAL,29,1)&lt;&gt;"",INDEX(OHZ_HAZ_EMS,29,1)&lt;&gt;"",INDEX(OHZ_HAZ_SUBSIDIARY,29,1)&lt;&gt;"",INDEX(OHZ_HAZ_UNITTYPE,29,1)&lt;&gt;"",INDEX(OHZ_HAZ_TEUID,29,1)&lt;&gt;"",INDEX(OHZ_HAZ_LOCATION,29,1)&lt;&gt;"",INDEX(OHZ_HAZ_PACKAGES,29,1)&lt;&gt;"",INDEX(OHZ_HAZ_AMOUNT,29,1)&lt;&gt;"",),IF(OR(INDEX(OHZ_HAZ_DGCLASSIFI,29,1)="",INDEX(OHZ_HAZ_TEXTUALREF,29,1)="",INDEX(OHZ_HAZ_TOTAMOUNT,29,1)="",INDEX(OHZ_HAZ_DPGREF,29,1)="",INDEX(OHZ_HAZ_CONSIGNMENT,29,1)="",),FALSE,TRUE),TRUE)</f>
        <v>1</v>
      </c>
      <c r="K36" s="237" t="str">
        <f t="shared" si="2"/>
        <v>Row 29 - All mandatory fields must be given</v>
      </c>
      <c r="L36" s="236" t="s">
        <v>1853</v>
      </c>
      <c r="R36" s="52"/>
      <c r="S36" s="52"/>
      <c r="T36" s="52" t="s">
        <v>2121</v>
      </c>
      <c r="V36" s="52"/>
    </row>
    <row r="37" spans="1:22">
      <c r="A37" s="313" t="b">
        <f ca="1">OR(AND(ISNUMBER(SUMPRODUCT(SEARCH(MID(SEC_CSO_PHONE,ROW(INDIRECT("1:"&amp;LEN(SEC_CSO_PHONE))),1),"0123456789+"))),LEN(SEC_CSO_PHONE)&lt;=16),SEC_CSO_PHONE="")</f>
        <v>1</v>
      </c>
      <c r="B37" s="313" t="s">
        <v>2014</v>
      </c>
      <c r="D37" s="52" t="b">
        <f>IF(OR(INDEX(WAS_ITE_CATEGORY,31,1)&lt;&gt;"",INDEX(WAS_ITE_TYPE,31,1)&lt;&gt;"",INDEX(WAS_ITE_TYPEDESCRI,31,1)&lt;&gt;"",INDEX(WAS_ITE_DELIVERED,31,1)&lt;&gt;"",INDEX(WAS_ITE_MAXSTORAG,31,1)&lt;&gt;"",INDEX(WAS_ITE_RETAINED,31,1)&lt;&gt;"",INDEX(WAS_ITE_REMAINING,31,1)&lt;&gt;"",INDEX(WAS_ITE_GENERATED,31,1)&lt;&gt;"",),IF(OR(INDEX(WAS_ITE_CATEGORY,31,1)="",INDEX(WAS_ITE_TYPE,31,1)="",INDEX(WAS_ITE_DELIVERED,31,1)="",INDEX(WAS_ITE_MAXSTORAG,31,1)="",INDEX(WAS_ITE_RETAINED,31,1)="",INDEX(WAS_ITE_GENERATED,31,1)="",INDEX(WAS_ITE_DELIVEREDU,31,1)="",INDEX(WAS_ITE_RETAINEDU,31,1)="",INDEX(WAS_ITE_GENERATEDU,31,1)="",INDEX(WAS_ITE_MAXSTORAGU,31,1)="",),FALSE,TRUE),TRUE)</f>
        <v>1</v>
      </c>
      <c r="E37" s="52" t="str">
        <f t="shared" si="0"/>
        <v>Row 31 - ‘Waste item’ information required</v>
      </c>
      <c r="F37" s="236" t="s">
        <v>1853</v>
      </c>
      <c r="G37" s="250" t="b">
        <f>IF(OR(INDEX(IHZ_HAZ_CONSIGNMENT,30,1)&lt;&gt;"",INDEX(IHZ_HAZ_TRANSDOCID,30,1)&lt;&gt;"",INDEX(IHZ_HAZ_PORTOFLOADING,30,1)&lt;&gt;"",INDEX(IHZ_HAZ_PORTOFDISCHARGE,30,1)&lt;&gt;"",INDEX(IHZ_HAZ_DPGREF,30,1)&lt;&gt;"",INDEX(IHZ_HAZ_DGCLASSIFI,30,1)&lt;&gt;"",INDEX(IHZ_HAZ_TEXTUALREF,30,1)&lt;&gt;"",INDEX(IHZ_HAZ_IMOHAZARDC,30,1)&lt;&gt;"",INDEX(IHZ_HAZ_UNNUMBER,30,1)&lt;&gt;"",INDEX(IHZ_HAZ_TOTAMOUNT,30,1)&lt;&gt;"",INDEX(IHZ_HAZ_PACKINGGRO,30,1)&lt;&gt;"",INDEX(IHZ_HAZ_FLASHPOINT,30,1)&lt;&gt;"",INDEX(IHZ_HAZ_MARPOLCODE,30,1)&lt;&gt;"",INDEX(IHZ_HAZ_PACTYPE,30,1)&lt;&gt;"",INDEX(IHZ_HAZ_TOTALPACKA,30,1)&lt;&gt;"",INDEX(IHZ_HAZ_ADDITIONAL,30,1)&lt;&gt;"",INDEX(IHZ_HAZ_EMS,30,1)&lt;&gt;"",INDEX(IHZ_HAZ_SUBSIDIARY,30,1)&lt;&gt;"",INDEX(IHZ_HAZ_UNITTYPE,30,1)&lt;&gt;"",INDEX(IHZ_HAZ_TEUID,30,1)&lt;&gt;"",INDEX(IHZ_HAZ_LOCATION,30,1)&lt;&gt;"",INDEX(IHZ_HAZ_PACKAGES,30,1)&lt;&gt;"",INDEX(IHZ_HAZ_AMOUNT,30,1)&lt;&gt;"",),IF(OR(INDEX(IHZ_HAZ_DGCLASSIFI,30,1)="",INDEX(IHZ_HAZ_TEXTUALREF,30,1)="",INDEX(IHZ_HAZ_TOTAMOUNT,30,1)="",INDEX(IHZ_HAZ_DPGREF,30,1)="",INDEX(IHZ_HAZ_CONSIGNMENT,30,1)="",),FALSE,TRUE),TRUE)</f>
        <v>1</v>
      </c>
      <c r="H37" s="237" t="str">
        <f t="shared" si="1"/>
        <v>Row 30 - All mandatory fields must be given</v>
      </c>
      <c r="I37" s="236" t="s">
        <v>1853</v>
      </c>
      <c r="J37" s="52" t="b">
        <f>IF(OR(INDEX(OHZ_HAZ_CONSIGNMENT,30,1)&lt;&gt;"",INDEX(OHZ_HAZ_TRANSDOCID,30,1)&lt;&gt;"",INDEX(OHZ_HAZ_PORTOFLOADING,30,1)&lt;&gt;"",INDEX(OHZ_HAZ_PORTOFDISCHARGE,30,1)&lt;&gt;"",INDEX(OHZ_HAZ_DPGREF,30,1)&lt;&gt;"",INDEX(OHZ_HAZ_DGCLASSIFI,30,1)&lt;&gt;"",INDEX(OHZ_HAZ_TEXTUALREF,30,1)&lt;&gt;"",INDEX(OHZ_HAZ_IMOHAZARDC,30,1)&lt;&gt;"",INDEX(OHZ_HAZ_UNNUMBER,30,1)&lt;&gt;"",INDEX(OHZ_HAZ_TOTAMOUNT,30,1)&lt;&gt;"",INDEX(OHZ_HAZ_PACKINGGRO,30,1)&lt;&gt;"",INDEX(OHZ_HAZ_FLASHPOINT,30,1)&lt;&gt;"",INDEX(OHZ_HAZ_MARPOLCODE,30,1)&lt;&gt;"",INDEX(OHZ_HAZ_PACTYPE,30,1)&lt;&gt;"",INDEX(OHZ_HAZ_TOTALPACKA,30,1)&lt;&gt;"",INDEX(OHZ_HAZ_ADDITIONAL,30,1)&lt;&gt;"",INDEX(OHZ_HAZ_EMS,30,1)&lt;&gt;"",INDEX(OHZ_HAZ_SUBSIDIARY,30,1)&lt;&gt;"",INDEX(OHZ_HAZ_UNITTYPE,30,1)&lt;&gt;"",INDEX(OHZ_HAZ_TEUID,30,1)&lt;&gt;"",INDEX(OHZ_HAZ_LOCATION,30,1)&lt;&gt;"",INDEX(OHZ_HAZ_PACKAGES,30,1)&lt;&gt;"",INDEX(OHZ_HAZ_AMOUNT,30,1)&lt;&gt;"",),IF(OR(INDEX(OHZ_HAZ_DGCLASSIFI,30,1)="",INDEX(OHZ_HAZ_TEXTUALREF,30,1)="",INDEX(OHZ_HAZ_TOTAMOUNT,30,1)="",INDEX(OHZ_HAZ_DPGREF,30,1)="",INDEX(OHZ_HAZ_CONSIGNMENT,30,1)="",),FALSE,TRUE),TRUE)</f>
        <v>1</v>
      </c>
      <c r="K37" s="237" t="str">
        <f t="shared" si="2"/>
        <v>Row 30 - All mandatory fields must be given</v>
      </c>
      <c r="L37" s="236" t="s">
        <v>1853</v>
      </c>
      <c r="R37" s="52"/>
      <c r="S37" s="52"/>
      <c r="T37" s="52" t="s">
        <v>2122</v>
      </c>
      <c r="V37" s="52"/>
    </row>
    <row r="38" spans="1:22">
      <c r="A38" s="313" t="b">
        <f ca="1">OR(AND(ISNUMBER(SUMPRODUCT(SEARCH(MID(SEC_CSO_FAX,ROW(INDIRECT("1:"&amp;LEN(SEC_CSO_FAX))),1),"0123456789+"))),LEN(SEC_CSO_FAX)&lt;=16),SEC_CSO_FAX="")</f>
        <v>1</v>
      </c>
      <c r="B38" s="313" t="s">
        <v>2015</v>
      </c>
      <c r="D38" s="52" t="b">
        <f>IF(OR(INDEX(WAS_ITE_CATEGORY,32,1)&lt;&gt;"",INDEX(WAS_ITE_TYPE,32,1)&lt;&gt;"",INDEX(WAS_ITE_TYPEDESCRI,32,1)&lt;&gt;"",INDEX(WAS_ITE_DELIVERED,32,1)&lt;&gt;"",INDEX(WAS_ITE_MAXSTORAG,32,1)&lt;&gt;"",INDEX(WAS_ITE_RETAINED,32,1)&lt;&gt;"",INDEX(WAS_ITE_REMAINING,32,1)&lt;&gt;"",INDEX(WAS_ITE_GENERATED,32,1)&lt;&gt;"",),IF(OR(INDEX(WAS_ITE_CATEGORY,32,1)="",INDEX(WAS_ITE_TYPE,32,1)="",INDEX(WAS_ITE_DELIVERED,32,1)="",INDEX(WAS_ITE_MAXSTORAG,32,1)="",INDEX(WAS_ITE_RETAINED,32,1)="",INDEX(WAS_ITE_GENERATED,32,1)="",INDEX(WAS_ITE_DELIVEREDU,32,1)="",INDEX(WAS_ITE_RETAINEDU,32,1)="",INDEX(WAS_ITE_GENERATEDU,32,1)="",INDEX(WAS_ITE_MAXSTORAGU,32,1)="",),FALSE,TRUE),TRUE)</f>
        <v>1</v>
      </c>
      <c r="E38" s="52" t="str">
        <f t="shared" si="0"/>
        <v>Row 32 - ‘Waste item’ information required</v>
      </c>
      <c r="F38" s="236" t="s">
        <v>1853</v>
      </c>
      <c r="G38" s="250" t="b">
        <f>IF(OR(INDEX(IHZ_HAZ_CONSIGNMENT,31,1)&lt;&gt;"",INDEX(IHZ_HAZ_TRANSDOCID,31,1)&lt;&gt;"",INDEX(IHZ_HAZ_PORTOFLOADING,31,1)&lt;&gt;"",INDEX(IHZ_HAZ_PORTOFDISCHARGE,31,1)&lt;&gt;"",INDEX(IHZ_HAZ_DPGREF,31,1)&lt;&gt;"",INDEX(IHZ_HAZ_DGCLASSIFI,31,1)&lt;&gt;"",INDEX(IHZ_HAZ_TEXTUALREF,31,1)&lt;&gt;"",INDEX(IHZ_HAZ_IMOHAZARDC,31,1)&lt;&gt;"",INDEX(IHZ_HAZ_UNNUMBER,31,1)&lt;&gt;"",INDEX(IHZ_HAZ_TOTAMOUNT,31,1)&lt;&gt;"",INDEX(IHZ_HAZ_PACKINGGRO,31,1)&lt;&gt;"",INDEX(IHZ_HAZ_FLASHPOINT,31,1)&lt;&gt;"",INDEX(IHZ_HAZ_MARPOLCODE,31,1)&lt;&gt;"",INDEX(IHZ_HAZ_PACTYPE,31,1)&lt;&gt;"",INDEX(IHZ_HAZ_TOTALPACKA,31,1)&lt;&gt;"",INDEX(IHZ_HAZ_ADDITIONAL,31,1)&lt;&gt;"",INDEX(IHZ_HAZ_EMS,31,1)&lt;&gt;"",INDEX(IHZ_HAZ_SUBSIDIARY,31,1)&lt;&gt;"",INDEX(IHZ_HAZ_UNITTYPE,31,1)&lt;&gt;"",INDEX(IHZ_HAZ_TEUID,31,1)&lt;&gt;"",INDEX(IHZ_HAZ_LOCATION,31,1)&lt;&gt;"",INDEX(IHZ_HAZ_PACKAGES,31,1)&lt;&gt;"",INDEX(IHZ_HAZ_AMOUNT,31,1)&lt;&gt;"",),IF(OR(INDEX(IHZ_HAZ_DGCLASSIFI,31,1)="",INDEX(IHZ_HAZ_TEXTUALREF,31,1)="",INDEX(IHZ_HAZ_TOTAMOUNT,31,1)="",INDEX(IHZ_HAZ_DPGREF,31,1)="",INDEX(IHZ_HAZ_CONSIGNMENT,31,1)="",),FALSE,TRUE),TRUE)</f>
        <v>1</v>
      </c>
      <c r="H38" s="237" t="str">
        <f t="shared" si="1"/>
        <v>Row 31 - All mandatory fields must be given</v>
      </c>
      <c r="I38" s="236" t="s">
        <v>1853</v>
      </c>
      <c r="J38" s="52" t="b">
        <f>IF(OR(INDEX(OHZ_HAZ_CONSIGNMENT,31,1)&lt;&gt;"",INDEX(OHZ_HAZ_TRANSDOCID,31,1)&lt;&gt;"",INDEX(OHZ_HAZ_PORTOFLOADING,31,1)&lt;&gt;"",INDEX(OHZ_HAZ_PORTOFDISCHARGE,31,1)&lt;&gt;"",INDEX(OHZ_HAZ_DPGREF,31,1)&lt;&gt;"",INDEX(OHZ_HAZ_DGCLASSIFI,31,1)&lt;&gt;"",INDEX(OHZ_HAZ_TEXTUALREF,31,1)&lt;&gt;"",INDEX(OHZ_HAZ_IMOHAZARDC,31,1)&lt;&gt;"",INDEX(OHZ_HAZ_UNNUMBER,31,1)&lt;&gt;"",INDEX(OHZ_HAZ_TOTAMOUNT,31,1)&lt;&gt;"",INDEX(OHZ_HAZ_PACKINGGRO,31,1)&lt;&gt;"",INDEX(OHZ_HAZ_FLASHPOINT,31,1)&lt;&gt;"",INDEX(OHZ_HAZ_MARPOLCODE,31,1)&lt;&gt;"",INDEX(OHZ_HAZ_PACTYPE,31,1)&lt;&gt;"",INDEX(OHZ_HAZ_TOTALPACKA,31,1)&lt;&gt;"",INDEX(OHZ_HAZ_ADDITIONAL,31,1)&lt;&gt;"",INDEX(OHZ_HAZ_EMS,31,1)&lt;&gt;"",INDEX(OHZ_HAZ_SUBSIDIARY,31,1)&lt;&gt;"",INDEX(OHZ_HAZ_UNITTYPE,31,1)&lt;&gt;"",INDEX(OHZ_HAZ_TEUID,31,1)&lt;&gt;"",INDEX(OHZ_HAZ_LOCATION,31,1)&lt;&gt;"",INDEX(OHZ_HAZ_PACKAGES,31,1)&lt;&gt;"",INDEX(OHZ_HAZ_AMOUNT,31,1)&lt;&gt;"",),IF(OR(INDEX(OHZ_HAZ_DGCLASSIFI,31,1)="",INDEX(OHZ_HAZ_TEXTUALREF,31,1)="",INDEX(OHZ_HAZ_TOTAMOUNT,31,1)="",INDEX(OHZ_HAZ_DPGREF,31,1)="",INDEX(OHZ_HAZ_CONSIGNMENT,31,1)="",),FALSE,TRUE),TRUE)</f>
        <v>1</v>
      </c>
      <c r="K38" s="237" t="str">
        <f t="shared" si="2"/>
        <v>Row 31 - All mandatory fields must be given</v>
      </c>
      <c r="L38" s="236" t="s">
        <v>1853</v>
      </c>
      <c r="R38" s="52"/>
      <c r="S38" s="52"/>
      <c r="T38" s="52" t="s">
        <v>2123</v>
      </c>
      <c r="V38" s="52"/>
    </row>
    <row r="39" spans="1:22">
      <c r="A39" s="313" t="b">
        <f>IF(OR(ISBLANK(SEC_CSO_EMAIL),AND(NOT(ISERROR(SEARCH("@",SEC_CSO_EMAIL))),ISERROR(SEARCH(" ",SEC_CSO_EMAIL)),LEN(SEC_CSO_EMAIL)&lt;=50)),TRUE(),FALSE())</f>
        <v>1</v>
      </c>
      <c r="B39" s="313" t="s">
        <v>2016</v>
      </c>
      <c r="D39" s="52" t="b">
        <f>IF(OR(INDEX(WAS_ITE_CATEGORY,33,1)&lt;&gt;"",INDEX(WAS_ITE_TYPE,33,1)&lt;&gt;"",INDEX(WAS_ITE_TYPEDESCRI,33,1)&lt;&gt;"",INDEX(WAS_ITE_DELIVERED,33,1)&lt;&gt;"",INDEX(WAS_ITE_MAXSTORAG,33,1)&lt;&gt;"",INDEX(WAS_ITE_RETAINED,33,1)&lt;&gt;"",INDEX(WAS_ITE_REMAINING,33,1)&lt;&gt;"",INDEX(WAS_ITE_GENERATED,33,1)&lt;&gt;"",),IF(OR(INDEX(WAS_ITE_CATEGORY,33,1)="",INDEX(WAS_ITE_TYPE,33,1)="",INDEX(WAS_ITE_DELIVERED,33,1)="",INDEX(WAS_ITE_MAXSTORAG,33,1)="",INDEX(WAS_ITE_RETAINED,33,1)="",INDEX(WAS_ITE_GENERATED,33,1)="",INDEX(WAS_ITE_DELIVEREDU,33,1)="",INDEX(WAS_ITE_RETAINEDU,33,1)="",INDEX(WAS_ITE_GENERATEDU,33,1)="",INDEX(WAS_ITE_MAXSTORAGU,33,1)="",),FALSE,TRUE),TRUE)</f>
        <v>1</v>
      </c>
      <c r="E39" s="52" t="str">
        <f t="shared" si="0"/>
        <v>Row 33 - ‘Waste item’ information required</v>
      </c>
      <c r="F39" s="236" t="s">
        <v>1853</v>
      </c>
      <c r="G39" s="250" t="b">
        <f>IF(OR(INDEX(IHZ_HAZ_CONSIGNMENT,32,1)&lt;&gt;"",INDEX(IHZ_HAZ_TRANSDOCID,32,1)&lt;&gt;"",INDEX(IHZ_HAZ_PORTOFLOADING,32,1)&lt;&gt;"",INDEX(IHZ_HAZ_PORTOFDISCHARGE,32,1)&lt;&gt;"",INDEX(IHZ_HAZ_DPGREF,32,1)&lt;&gt;"",INDEX(IHZ_HAZ_DGCLASSIFI,32,1)&lt;&gt;"",INDEX(IHZ_HAZ_TEXTUALREF,32,1)&lt;&gt;"",INDEX(IHZ_HAZ_IMOHAZARDC,32,1)&lt;&gt;"",INDEX(IHZ_HAZ_UNNUMBER,32,1)&lt;&gt;"",INDEX(IHZ_HAZ_TOTAMOUNT,32,1)&lt;&gt;"",INDEX(IHZ_HAZ_PACKINGGRO,32,1)&lt;&gt;"",INDEX(IHZ_HAZ_FLASHPOINT,32,1)&lt;&gt;"",INDEX(IHZ_HAZ_MARPOLCODE,32,1)&lt;&gt;"",INDEX(IHZ_HAZ_PACTYPE,32,1)&lt;&gt;"",INDEX(IHZ_HAZ_TOTALPACKA,32,1)&lt;&gt;"",INDEX(IHZ_HAZ_ADDITIONAL,32,1)&lt;&gt;"",INDEX(IHZ_HAZ_EMS,32,1)&lt;&gt;"",INDEX(IHZ_HAZ_SUBSIDIARY,32,1)&lt;&gt;"",INDEX(IHZ_HAZ_UNITTYPE,32,1)&lt;&gt;"",INDEX(IHZ_HAZ_TEUID,32,1)&lt;&gt;"",INDEX(IHZ_HAZ_LOCATION,32,1)&lt;&gt;"",INDEX(IHZ_HAZ_PACKAGES,32,1)&lt;&gt;"",INDEX(IHZ_HAZ_AMOUNT,32,1)&lt;&gt;"",),IF(OR(INDEX(IHZ_HAZ_DGCLASSIFI,32,1)="",INDEX(IHZ_HAZ_TEXTUALREF,32,1)="",INDEX(IHZ_HAZ_TOTAMOUNT,32,1)="",INDEX(IHZ_HAZ_DPGREF,32,1)="",INDEX(IHZ_HAZ_CONSIGNMENT,32,1)="",),FALSE,TRUE),TRUE)</f>
        <v>1</v>
      </c>
      <c r="H39" s="237" t="str">
        <f t="shared" si="1"/>
        <v>Row 32 - All mandatory fields must be given</v>
      </c>
      <c r="I39" s="236" t="s">
        <v>1853</v>
      </c>
      <c r="J39" s="52" t="b">
        <f>IF(OR(INDEX(OHZ_HAZ_CONSIGNMENT,32,1)&lt;&gt;"",INDEX(OHZ_HAZ_TRANSDOCID,32,1)&lt;&gt;"",INDEX(OHZ_HAZ_PORTOFLOADING,32,1)&lt;&gt;"",INDEX(OHZ_HAZ_PORTOFDISCHARGE,32,1)&lt;&gt;"",INDEX(OHZ_HAZ_DPGREF,32,1)&lt;&gt;"",INDEX(OHZ_HAZ_DGCLASSIFI,32,1)&lt;&gt;"",INDEX(OHZ_HAZ_TEXTUALREF,32,1)&lt;&gt;"",INDEX(OHZ_HAZ_IMOHAZARDC,32,1)&lt;&gt;"",INDEX(OHZ_HAZ_UNNUMBER,32,1)&lt;&gt;"",INDEX(OHZ_HAZ_TOTAMOUNT,32,1)&lt;&gt;"",INDEX(OHZ_HAZ_PACKINGGRO,32,1)&lt;&gt;"",INDEX(OHZ_HAZ_FLASHPOINT,32,1)&lt;&gt;"",INDEX(OHZ_HAZ_MARPOLCODE,32,1)&lt;&gt;"",INDEX(OHZ_HAZ_PACTYPE,32,1)&lt;&gt;"",INDEX(OHZ_HAZ_TOTALPACKA,32,1)&lt;&gt;"",INDEX(OHZ_HAZ_ADDITIONAL,32,1)&lt;&gt;"",INDEX(OHZ_HAZ_EMS,32,1)&lt;&gt;"",INDEX(OHZ_HAZ_SUBSIDIARY,32,1)&lt;&gt;"",INDEX(OHZ_HAZ_UNITTYPE,32,1)&lt;&gt;"",INDEX(OHZ_HAZ_TEUID,32,1)&lt;&gt;"",INDEX(OHZ_HAZ_LOCATION,32,1)&lt;&gt;"",INDEX(OHZ_HAZ_PACKAGES,32,1)&lt;&gt;"",INDEX(OHZ_HAZ_AMOUNT,32,1)&lt;&gt;"",),IF(OR(INDEX(OHZ_HAZ_DGCLASSIFI,32,1)="",INDEX(OHZ_HAZ_TEXTUALREF,32,1)="",INDEX(OHZ_HAZ_TOTAMOUNT,32,1)="",INDEX(OHZ_HAZ_DPGREF,32,1)="",INDEX(OHZ_HAZ_CONSIGNMENT,32,1)="",),FALSE,TRUE),TRUE)</f>
        <v>1</v>
      </c>
      <c r="K39" s="237" t="str">
        <f t="shared" si="2"/>
        <v>Row 32 - All mandatory fields must be given</v>
      </c>
      <c r="L39" s="236" t="s">
        <v>1853</v>
      </c>
      <c r="R39" s="52"/>
      <c r="S39" s="52"/>
      <c r="T39" s="52" t="s">
        <v>2124</v>
      </c>
      <c r="V39" s="52"/>
    </row>
    <row r="40" spans="1:22">
      <c r="A40" s="313" t="b">
        <f>LEN(SEC_AGENT_NAME)&lt;51</f>
        <v>1</v>
      </c>
      <c r="B40" s="313" t="s">
        <v>2017</v>
      </c>
      <c r="D40" s="52" t="b">
        <f>IF(OR(INDEX(WAS_ITE_CATEGORY,34,1)&lt;&gt;"",INDEX(WAS_ITE_TYPE,34,1)&lt;&gt;"",INDEX(WAS_ITE_TYPEDESCRI,34,1)&lt;&gt;"",INDEX(WAS_ITE_DELIVERED,34,1)&lt;&gt;"",INDEX(WAS_ITE_MAXSTORAG,34,1)&lt;&gt;"",INDEX(WAS_ITE_RETAINED,34,1)&lt;&gt;"",INDEX(WAS_ITE_REMAINING,34,1)&lt;&gt;"",INDEX(WAS_ITE_GENERATED,34,1)&lt;&gt;"",),IF(OR(INDEX(WAS_ITE_CATEGORY,34,1)="",INDEX(WAS_ITE_TYPE,34,1)="",INDEX(WAS_ITE_DELIVERED,34,1)="",INDEX(WAS_ITE_MAXSTORAG,34,1)="",INDEX(WAS_ITE_RETAINED,34,1)="",INDEX(WAS_ITE_GENERATED,34,1)="",INDEX(WAS_ITE_DELIVEREDU,34,1)="",INDEX(WAS_ITE_RETAINEDU,34,1)="",INDEX(WAS_ITE_GENERATEDU,34,1)="",INDEX(WAS_ITE_MAXSTORAGU,34,1)="",),FALSE,TRUE),TRUE)</f>
        <v>1</v>
      </c>
      <c r="E40" s="52" t="str">
        <f t="shared" si="0"/>
        <v>Row 34 - ‘Waste item’ information required</v>
      </c>
      <c r="F40" s="236" t="s">
        <v>1853</v>
      </c>
      <c r="G40" s="250" t="b">
        <f>IF(OR(INDEX(IHZ_HAZ_CONSIGNMENT,33,1)&lt;&gt;"",INDEX(IHZ_HAZ_TRANSDOCID,33,1)&lt;&gt;"",INDEX(IHZ_HAZ_PORTOFLOADING,33,1)&lt;&gt;"",INDEX(IHZ_HAZ_PORTOFDISCHARGE,33,1)&lt;&gt;"",INDEX(IHZ_HAZ_DPGREF,33,1)&lt;&gt;"",INDEX(IHZ_HAZ_DGCLASSIFI,33,1)&lt;&gt;"",INDEX(IHZ_HAZ_TEXTUALREF,33,1)&lt;&gt;"",INDEX(IHZ_HAZ_IMOHAZARDC,33,1)&lt;&gt;"",INDEX(IHZ_HAZ_UNNUMBER,33,1)&lt;&gt;"",INDEX(IHZ_HAZ_TOTAMOUNT,33,1)&lt;&gt;"",INDEX(IHZ_HAZ_PACKINGGRO,33,1)&lt;&gt;"",INDEX(IHZ_HAZ_FLASHPOINT,33,1)&lt;&gt;"",INDEX(IHZ_HAZ_MARPOLCODE,33,1)&lt;&gt;"",INDEX(IHZ_HAZ_PACTYPE,33,1)&lt;&gt;"",INDEX(IHZ_HAZ_TOTALPACKA,33,1)&lt;&gt;"",INDEX(IHZ_HAZ_ADDITIONAL,33,1)&lt;&gt;"",INDEX(IHZ_HAZ_EMS,33,1)&lt;&gt;"",INDEX(IHZ_HAZ_SUBSIDIARY,33,1)&lt;&gt;"",INDEX(IHZ_HAZ_UNITTYPE,33,1)&lt;&gt;"",INDEX(IHZ_HAZ_TEUID,33,1)&lt;&gt;"",INDEX(IHZ_HAZ_LOCATION,33,1)&lt;&gt;"",INDEX(IHZ_HAZ_PACKAGES,33,1)&lt;&gt;"",INDEX(IHZ_HAZ_AMOUNT,33,1)&lt;&gt;"",),IF(OR(INDEX(IHZ_HAZ_DGCLASSIFI,33,1)="",INDEX(IHZ_HAZ_TEXTUALREF,33,1)="",INDEX(IHZ_HAZ_TOTAMOUNT,33,1)="",INDEX(IHZ_HAZ_DPGREF,33,1)="",INDEX(IHZ_HAZ_CONSIGNMENT,33,1)="",),FALSE,TRUE),TRUE)</f>
        <v>1</v>
      </c>
      <c r="H40" s="237" t="str">
        <f t="shared" si="1"/>
        <v>Row 33 - All mandatory fields must be given</v>
      </c>
      <c r="I40" s="236" t="s">
        <v>1853</v>
      </c>
      <c r="J40" s="52" t="b">
        <f>IF(OR(INDEX(OHZ_HAZ_CONSIGNMENT,33,1)&lt;&gt;"",INDEX(OHZ_HAZ_TRANSDOCID,33,1)&lt;&gt;"",INDEX(OHZ_HAZ_PORTOFLOADING,33,1)&lt;&gt;"",INDEX(OHZ_HAZ_PORTOFDISCHARGE,33,1)&lt;&gt;"",INDEX(OHZ_HAZ_DPGREF,33,1)&lt;&gt;"",INDEX(OHZ_HAZ_DGCLASSIFI,33,1)&lt;&gt;"",INDEX(OHZ_HAZ_TEXTUALREF,33,1)&lt;&gt;"",INDEX(OHZ_HAZ_IMOHAZARDC,33,1)&lt;&gt;"",INDEX(OHZ_HAZ_UNNUMBER,33,1)&lt;&gt;"",INDEX(OHZ_HAZ_TOTAMOUNT,33,1)&lt;&gt;"",INDEX(OHZ_HAZ_PACKINGGRO,33,1)&lt;&gt;"",INDEX(OHZ_HAZ_FLASHPOINT,33,1)&lt;&gt;"",INDEX(OHZ_HAZ_MARPOLCODE,33,1)&lt;&gt;"",INDEX(OHZ_HAZ_PACTYPE,33,1)&lt;&gt;"",INDEX(OHZ_HAZ_TOTALPACKA,33,1)&lt;&gt;"",INDEX(OHZ_HAZ_ADDITIONAL,33,1)&lt;&gt;"",INDEX(OHZ_HAZ_EMS,33,1)&lt;&gt;"",INDEX(OHZ_HAZ_SUBSIDIARY,33,1)&lt;&gt;"",INDEX(OHZ_HAZ_UNITTYPE,33,1)&lt;&gt;"",INDEX(OHZ_HAZ_TEUID,33,1)&lt;&gt;"",INDEX(OHZ_HAZ_LOCATION,33,1)&lt;&gt;"",INDEX(OHZ_HAZ_PACKAGES,33,1)&lt;&gt;"",INDEX(OHZ_HAZ_AMOUNT,33,1)&lt;&gt;"",),IF(OR(INDEX(OHZ_HAZ_DGCLASSIFI,33,1)="",INDEX(OHZ_HAZ_TEXTUALREF,33,1)="",INDEX(OHZ_HAZ_TOTAMOUNT,33,1)="",INDEX(OHZ_HAZ_DPGREF,33,1)="",INDEX(OHZ_HAZ_CONSIGNMENT,33,1)="",),FALSE,TRUE),TRUE)</f>
        <v>1</v>
      </c>
      <c r="K40" s="237" t="str">
        <f t="shared" si="2"/>
        <v>Row 33 - All mandatory fields must be given</v>
      </c>
      <c r="L40" s="236" t="s">
        <v>1853</v>
      </c>
      <c r="R40" s="52"/>
      <c r="S40" s="52"/>
      <c r="T40" s="52" t="s">
        <v>2125</v>
      </c>
      <c r="V40" s="52"/>
    </row>
    <row r="41" spans="1:22">
      <c r="A41" s="313" t="b">
        <f ca="1">OR(AND(ISNUMBER(SUMPRODUCT(SEARCH(MID(SEC_AGENT_PHONE,ROW(INDIRECT("1:"&amp;LEN(SEC_AGENT_PHONE))),1),"0123456789+"))),LEN(SEC_AGENT_PHONE)&lt;=16),SEC_AGENT_PHONE="")</f>
        <v>1</v>
      </c>
      <c r="B41" s="313" t="s">
        <v>2018</v>
      </c>
      <c r="D41" s="52" t="b">
        <f>IF(OR(INDEX(WAS_ITE_CATEGORY,35,1)&lt;&gt;"",INDEX(WAS_ITE_TYPE,35,1)&lt;&gt;"",INDEX(WAS_ITE_TYPEDESCRI,35,1)&lt;&gt;"",INDEX(WAS_ITE_DELIVERED,35,1)&lt;&gt;"",INDEX(WAS_ITE_MAXSTORAG,35,1)&lt;&gt;"",INDEX(WAS_ITE_RETAINED,35,1)&lt;&gt;"",INDEX(WAS_ITE_REMAINING,35,1)&lt;&gt;"",INDEX(WAS_ITE_GENERATED,35,1)&lt;&gt;"",),IF(OR(INDEX(WAS_ITE_CATEGORY,35,1)="",INDEX(WAS_ITE_TYPE,35,1)="",INDEX(WAS_ITE_DELIVERED,35,1)="",INDEX(WAS_ITE_MAXSTORAG,35,1)="",INDEX(WAS_ITE_RETAINED,35,1)="",INDEX(WAS_ITE_GENERATED,35,1)="",INDEX(WAS_ITE_DELIVEREDU,35,1)="",INDEX(WAS_ITE_RETAINEDU,35,1)="",INDEX(WAS_ITE_GENERATEDU,35,1)="",INDEX(WAS_ITE_MAXSTORAGU,35,1)="",),FALSE,TRUE),TRUE)</f>
        <v>1</v>
      </c>
      <c r="E41" s="52" t="str">
        <f t="shared" si="0"/>
        <v>Row 35 - ‘Waste item’ information required</v>
      </c>
      <c r="F41" s="236" t="s">
        <v>1853</v>
      </c>
      <c r="G41" s="250" t="b">
        <f>IF(OR(INDEX(IHZ_HAZ_CONSIGNMENT,34,1)&lt;&gt;"",INDEX(IHZ_HAZ_TRANSDOCID,34,1)&lt;&gt;"",INDEX(IHZ_HAZ_PORTOFLOADING,34,1)&lt;&gt;"",INDEX(IHZ_HAZ_PORTOFDISCHARGE,34,1)&lt;&gt;"",INDEX(IHZ_HAZ_DPGREF,34,1)&lt;&gt;"",INDEX(IHZ_HAZ_DGCLASSIFI,34,1)&lt;&gt;"",INDEX(IHZ_HAZ_TEXTUALREF,34,1)&lt;&gt;"",INDEX(IHZ_HAZ_IMOHAZARDC,34,1)&lt;&gt;"",INDEX(IHZ_HAZ_UNNUMBER,34,1)&lt;&gt;"",INDEX(IHZ_HAZ_TOTAMOUNT,34,1)&lt;&gt;"",INDEX(IHZ_HAZ_PACKINGGRO,34,1)&lt;&gt;"",INDEX(IHZ_HAZ_FLASHPOINT,34,1)&lt;&gt;"",INDEX(IHZ_HAZ_MARPOLCODE,34,1)&lt;&gt;"",INDEX(IHZ_HAZ_PACTYPE,34,1)&lt;&gt;"",INDEX(IHZ_HAZ_TOTALPACKA,34,1)&lt;&gt;"",INDEX(IHZ_HAZ_ADDITIONAL,34,1)&lt;&gt;"",INDEX(IHZ_HAZ_EMS,34,1)&lt;&gt;"",INDEX(IHZ_HAZ_SUBSIDIARY,34,1)&lt;&gt;"",INDEX(IHZ_HAZ_UNITTYPE,34,1)&lt;&gt;"",INDEX(IHZ_HAZ_TEUID,34,1)&lt;&gt;"",INDEX(IHZ_HAZ_LOCATION,34,1)&lt;&gt;"",INDEX(IHZ_HAZ_PACKAGES,34,1)&lt;&gt;"",INDEX(IHZ_HAZ_AMOUNT,34,1)&lt;&gt;"",),IF(OR(INDEX(IHZ_HAZ_DGCLASSIFI,34,1)="",INDEX(IHZ_HAZ_TEXTUALREF,34,1)="",INDEX(IHZ_HAZ_TOTAMOUNT,34,1)="",INDEX(IHZ_HAZ_DPGREF,34,1)="",INDEX(IHZ_HAZ_CONSIGNMENT,34,1)="",),FALSE,TRUE),TRUE)</f>
        <v>1</v>
      </c>
      <c r="H41" s="237" t="str">
        <f t="shared" si="1"/>
        <v>Row 34 - All mandatory fields must be given</v>
      </c>
      <c r="I41" s="236" t="s">
        <v>1853</v>
      </c>
      <c r="J41" s="52" t="b">
        <f>IF(OR(INDEX(OHZ_HAZ_CONSIGNMENT,34,1)&lt;&gt;"",INDEX(OHZ_HAZ_TRANSDOCID,34,1)&lt;&gt;"",INDEX(OHZ_HAZ_PORTOFLOADING,34,1)&lt;&gt;"",INDEX(OHZ_HAZ_PORTOFDISCHARGE,34,1)&lt;&gt;"",INDEX(OHZ_HAZ_DPGREF,34,1)&lt;&gt;"",INDEX(OHZ_HAZ_DGCLASSIFI,34,1)&lt;&gt;"",INDEX(OHZ_HAZ_TEXTUALREF,34,1)&lt;&gt;"",INDEX(OHZ_HAZ_IMOHAZARDC,34,1)&lt;&gt;"",INDEX(OHZ_HAZ_UNNUMBER,34,1)&lt;&gt;"",INDEX(OHZ_HAZ_TOTAMOUNT,34,1)&lt;&gt;"",INDEX(OHZ_HAZ_PACKINGGRO,34,1)&lt;&gt;"",INDEX(OHZ_HAZ_FLASHPOINT,34,1)&lt;&gt;"",INDEX(OHZ_HAZ_MARPOLCODE,34,1)&lt;&gt;"",INDEX(OHZ_HAZ_PACTYPE,34,1)&lt;&gt;"",INDEX(OHZ_HAZ_TOTALPACKA,34,1)&lt;&gt;"",INDEX(OHZ_HAZ_ADDITIONAL,34,1)&lt;&gt;"",INDEX(OHZ_HAZ_EMS,34,1)&lt;&gt;"",INDEX(OHZ_HAZ_SUBSIDIARY,34,1)&lt;&gt;"",INDEX(OHZ_HAZ_UNITTYPE,34,1)&lt;&gt;"",INDEX(OHZ_HAZ_TEUID,34,1)&lt;&gt;"",INDEX(OHZ_HAZ_LOCATION,34,1)&lt;&gt;"",INDEX(OHZ_HAZ_PACKAGES,34,1)&lt;&gt;"",INDEX(OHZ_HAZ_AMOUNT,34,1)&lt;&gt;"",),IF(OR(INDEX(OHZ_HAZ_DGCLASSIFI,34,1)="",INDEX(OHZ_HAZ_TEXTUALREF,34,1)="",INDEX(OHZ_HAZ_TOTAMOUNT,34,1)="",INDEX(OHZ_HAZ_DPGREF,34,1)="",INDEX(OHZ_HAZ_CONSIGNMENT,34,1)="",),FALSE,TRUE),TRUE)</f>
        <v>1</v>
      </c>
      <c r="K41" s="237" t="str">
        <f t="shared" si="2"/>
        <v>Row 34 - All mandatory fields must be given</v>
      </c>
      <c r="L41" s="236" t="s">
        <v>1853</v>
      </c>
      <c r="R41" s="52"/>
      <c r="S41" s="52"/>
      <c r="T41" s="52" t="s">
        <v>2126</v>
      </c>
      <c r="V41" s="52"/>
    </row>
    <row r="42" spans="1:22">
      <c r="A42" s="313" t="b">
        <f ca="1">OR(AND(ISNUMBER(SUMPRODUCT(SEARCH(MID(SEC_AGENT_FAX,ROW(INDIRECT("1:"&amp;LEN(SEC_AGENT_FAX))),1),"0123456789+"))),LEN(SEC_AGENT_FAX)&lt;=16),SEC_AGENT_FAX="")</f>
        <v>1</v>
      </c>
      <c r="B42" s="313" t="s">
        <v>2019</v>
      </c>
      <c r="D42" s="52" t="b">
        <f>IF(OR(INDEX(WAS_ITE_CATEGORY,36,1)&lt;&gt;"",INDEX(WAS_ITE_TYPE,36,1)&lt;&gt;"",INDEX(WAS_ITE_TYPEDESCRI,36,1)&lt;&gt;"",INDEX(WAS_ITE_DELIVERED,36,1)&lt;&gt;"",INDEX(WAS_ITE_MAXSTORAG,36,1)&lt;&gt;"",INDEX(WAS_ITE_RETAINED,36,1)&lt;&gt;"",INDEX(WAS_ITE_REMAINING,36,1)&lt;&gt;"",INDEX(WAS_ITE_GENERATED,36,1)&lt;&gt;"",),IF(OR(INDEX(WAS_ITE_CATEGORY,36,1)="",INDEX(WAS_ITE_TYPE,36,1)="",INDEX(WAS_ITE_DELIVERED,36,1)="",INDEX(WAS_ITE_MAXSTORAG,36,1)="",INDEX(WAS_ITE_RETAINED,36,1)="",INDEX(WAS_ITE_GENERATED,36,1)="",INDEX(WAS_ITE_DELIVEREDU,36,1)="",INDEX(WAS_ITE_RETAINEDU,36,1)="",INDEX(WAS_ITE_GENERATEDU,36,1)="",INDEX(WAS_ITE_MAXSTORAGU,36,1)="",),FALSE,TRUE),TRUE)</f>
        <v>1</v>
      </c>
      <c r="E42" s="52" t="str">
        <f t="shared" si="0"/>
        <v>Row 36 - ‘Waste item’ information required</v>
      </c>
      <c r="F42" s="236" t="s">
        <v>1853</v>
      </c>
      <c r="G42" s="250" t="b">
        <f>IF(OR(INDEX(IHZ_HAZ_CONSIGNMENT,35,1)&lt;&gt;"",INDEX(IHZ_HAZ_TRANSDOCID,35,1)&lt;&gt;"",INDEX(IHZ_HAZ_PORTOFLOADING,35,1)&lt;&gt;"",INDEX(IHZ_HAZ_PORTOFDISCHARGE,35,1)&lt;&gt;"",INDEX(IHZ_HAZ_DPGREF,35,1)&lt;&gt;"",INDEX(IHZ_HAZ_DGCLASSIFI,35,1)&lt;&gt;"",INDEX(IHZ_HAZ_TEXTUALREF,35,1)&lt;&gt;"",INDEX(IHZ_HAZ_IMOHAZARDC,35,1)&lt;&gt;"",INDEX(IHZ_HAZ_UNNUMBER,35,1)&lt;&gt;"",INDEX(IHZ_HAZ_TOTAMOUNT,35,1)&lt;&gt;"",INDEX(IHZ_HAZ_PACKINGGRO,35,1)&lt;&gt;"",INDEX(IHZ_HAZ_FLASHPOINT,35,1)&lt;&gt;"",INDEX(IHZ_HAZ_MARPOLCODE,35,1)&lt;&gt;"",INDEX(IHZ_HAZ_PACTYPE,35,1)&lt;&gt;"",INDEX(IHZ_HAZ_TOTALPACKA,35,1)&lt;&gt;"",INDEX(IHZ_HAZ_ADDITIONAL,35,1)&lt;&gt;"",INDEX(IHZ_HAZ_EMS,35,1)&lt;&gt;"",INDEX(IHZ_HAZ_SUBSIDIARY,35,1)&lt;&gt;"",INDEX(IHZ_HAZ_UNITTYPE,35,1)&lt;&gt;"",INDEX(IHZ_HAZ_TEUID,35,1)&lt;&gt;"",INDEX(IHZ_HAZ_LOCATION,35,1)&lt;&gt;"",INDEX(IHZ_HAZ_PACKAGES,35,1)&lt;&gt;"",INDEX(IHZ_HAZ_AMOUNT,35,1)&lt;&gt;"",),IF(OR(INDEX(IHZ_HAZ_DGCLASSIFI,35,1)="",INDEX(IHZ_HAZ_TEXTUALREF,35,1)="",INDEX(IHZ_HAZ_TOTAMOUNT,35,1)="",INDEX(IHZ_HAZ_DPGREF,35,1)="",INDEX(IHZ_HAZ_CONSIGNMENT,35,1)="",),FALSE,TRUE),TRUE)</f>
        <v>1</v>
      </c>
      <c r="H42" s="237" t="str">
        <f t="shared" si="1"/>
        <v>Row 35 - All mandatory fields must be given</v>
      </c>
      <c r="I42" s="236" t="s">
        <v>1853</v>
      </c>
      <c r="J42" s="52" t="b">
        <f>IF(OR(INDEX(OHZ_HAZ_CONSIGNMENT,35,1)&lt;&gt;"",INDEX(OHZ_HAZ_TRANSDOCID,35,1)&lt;&gt;"",INDEX(OHZ_HAZ_PORTOFLOADING,35,1)&lt;&gt;"",INDEX(OHZ_HAZ_PORTOFDISCHARGE,35,1)&lt;&gt;"",INDEX(OHZ_HAZ_DPGREF,35,1)&lt;&gt;"",INDEX(OHZ_HAZ_DGCLASSIFI,35,1)&lt;&gt;"",INDEX(OHZ_HAZ_TEXTUALREF,35,1)&lt;&gt;"",INDEX(OHZ_HAZ_IMOHAZARDC,35,1)&lt;&gt;"",INDEX(OHZ_HAZ_UNNUMBER,35,1)&lt;&gt;"",INDEX(OHZ_HAZ_TOTAMOUNT,35,1)&lt;&gt;"",INDEX(OHZ_HAZ_PACKINGGRO,35,1)&lt;&gt;"",INDEX(OHZ_HAZ_FLASHPOINT,35,1)&lt;&gt;"",INDEX(OHZ_HAZ_MARPOLCODE,35,1)&lt;&gt;"",INDEX(OHZ_HAZ_PACTYPE,35,1)&lt;&gt;"",INDEX(OHZ_HAZ_TOTALPACKA,35,1)&lt;&gt;"",INDEX(OHZ_HAZ_ADDITIONAL,35,1)&lt;&gt;"",INDEX(OHZ_HAZ_EMS,35,1)&lt;&gt;"",INDEX(OHZ_HAZ_SUBSIDIARY,35,1)&lt;&gt;"",INDEX(OHZ_HAZ_UNITTYPE,35,1)&lt;&gt;"",INDEX(OHZ_HAZ_TEUID,35,1)&lt;&gt;"",INDEX(OHZ_HAZ_LOCATION,35,1)&lt;&gt;"",INDEX(OHZ_HAZ_PACKAGES,35,1)&lt;&gt;"",INDEX(OHZ_HAZ_AMOUNT,35,1)&lt;&gt;"",),IF(OR(INDEX(OHZ_HAZ_DGCLASSIFI,35,1)="",INDEX(OHZ_HAZ_TEXTUALREF,35,1)="",INDEX(OHZ_HAZ_TOTAMOUNT,35,1)="",INDEX(OHZ_HAZ_DPGREF,35,1)="",INDEX(OHZ_HAZ_CONSIGNMENT,35,1)="",),FALSE,TRUE),TRUE)</f>
        <v>1</v>
      </c>
      <c r="K42" s="237" t="str">
        <f t="shared" si="2"/>
        <v>Row 35 - All mandatory fields must be given</v>
      </c>
      <c r="L42" s="236" t="s">
        <v>1853</v>
      </c>
      <c r="R42" s="52"/>
      <c r="S42" s="52"/>
      <c r="T42" s="52" t="s">
        <v>2127</v>
      </c>
      <c r="V42" s="52"/>
    </row>
    <row r="43" spans="1:22">
      <c r="A43" s="313" t="b">
        <f>IF(OR(ISBLANK(SEC_AGENT_EMAIL),AND(NOT(ISERROR(SEARCH("@",SEC_AGENT_EMAIL))),ISERROR(SEARCH(" ",SEC_AGENT_EMAIL)),LEN(SEC_AGENT_EMAIL)&lt;=50)),TRUE(),FALSE())</f>
        <v>1</v>
      </c>
      <c r="B43" s="313" t="s">
        <v>2020</v>
      </c>
      <c r="F43" s="236" t="s">
        <v>1853</v>
      </c>
      <c r="G43" s="250" t="b">
        <f>IF(OR(INDEX(IHZ_HAZ_CONSIGNMENT,36,1)&lt;&gt;"",INDEX(IHZ_HAZ_TRANSDOCID,36,1)&lt;&gt;"",INDEX(IHZ_HAZ_PORTOFLOADING,36,1)&lt;&gt;"",INDEX(IHZ_HAZ_PORTOFDISCHARGE,36,1)&lt;&gt;"",INDEX(IHZ_HAZ_DPGREF,36,1)&lt;&gt;"",INDEX(IHZ_HAZ_DGCLASSIFI,36,1)&lt;&gt;"",INDEX(IHZ_HAZ_TEXTUALREF,36,1)&lt;&gt;"",INDEX(IHZ_HAZ_IMOHAZARDC,36,1)&lt;&gt;"",INDEX(IHZ_HAZ_UNNUMBER,36,1)&lt;&gt;"",INDEX(IHZ_HAZ_TOTAMOUNT,36,1)&lt;&gt;"",INDEX(IHZ_HAZ_PACKINGGRO,36,1)&lt;&gt;"",INDEX(IHZ_HAZ_FLASHPOINT,36,1)&lt;&gt;"",INDEX(IHZ_HAZ_MARPOLCODE,36,1)&lt;&gt;"",INDEX(IHZ_HAZ_PACTYPE,36,1)&lt;&gt;"",INDEX(IHZ_HAZ_TOTALPACKA,36,1)&lt;&gt;"",INDEX(IHZ_HAZ_ADDITIONAL,36,1)&lt;&gt;"",INDEX(IHZ_HAZ_EMS,36,1)&lt;&gt;"",INDEX(IHZ_HAZ_SUBSIDIARY,36,1)&lt;&gt;"",INDEX(IHZ_HAZ_UNITTYPE,36,1)&lt;&gt;"",INDEX(IHZ_HAZ_TEUID,36,1)&lt;&gt;"",INDEX(IHZ_HAZ_LOCATION,36,1)&lt;&gt;"",INDEX(IHZ_HAZ_PACKAGES,36,1)&lt;&gt;"",INDEX(IHZ_HAZ_AMOUNT,36,1)&lt;&gt;"",),IF(OR(INDEX(IHZ_HAZ_DGCLASSIFI,36,1)="",INDEX(IHZ_HAZ_TEXTUALREF,36,1)="",INDEX(IHZ_HAZ_TOTAMOUNT,36,1)="",INDEX(IHZ_HAZ_DPGREF,36,1)="",INDEX(IHZ_HAZ_CONSIGNMENT,36,1)="",),FALSE,TRUE),TRUE)</f>
        <v>1</v>
      </c>
      <c r="H43" s="237" t="str">
        <f t="shared" si="1"/>
        <v>Row 36 - All mandatory fields must be given</v>
      </c>
      <c r="I43" s="236" t="s">
        <v>1853</v>
      </c>
      <c r="J43" s="52" t="b">
        <f>IF(OR(INDEX(OHZ_HAZ_CONSIGNMENT,36,1)&lt;&gt;"",INDEX(OHZ_HAZ_TRANSDOCID,36,1)&lt;&gt;"",INDEX(OHZ_HAZ_PORTOFLOADING,36,1)&lt;&gt;"",INDEX(OHZ_HAZ_PORTOFDISCHARGE,36,1)&lt;&gt;"",INDEX(OHZ_HAZ_DPGREF,36,1)&lt;&gt;"",INDEX(OHZ_HAZ_DGCLASSIFI,36,1)&lt;&gt;"",INDEX(OHZ_HAZ_TEXTUALREF,36,1)&lt;&gt;"",INDEX(OHZ_HAZ_IMOHAZARDC,36,1)&lt;&gt;"",INDEX(OHZ_HAZ_UNNUMBER,36,1)&lt;&gt;"",INDEX(OHZ_HAZ_TOTAMOUNT,36,1)&lt;&gt;"",INDEX(OHZ_HAZ_PACKINGGRO,36,1)&lt;&gt;"",INDEX(OHZ_HAZ_FLASHPOINT,36,1)&lt;&gt;"",INDEX(OHZ_HAZ_MARPOLCODE,36,1)&lt;&gt;"",INDEX(OHZ_HAZ_PACTYPE,36,1)&lt;&gt;"",INDEX(OHZ_HAZ_TOTALPACKA,36,1)&lt;&gt;"",INDEX(OHZ_HAZ_ADDITIONAL,36,1)&lt;&gt;"",INDEX(OHZ_HAZ_EMS,36,1)&lt;&gt;"",INDEX(OHZ_HAZ_SUBSIDIARY,36,1)&lt;&gt;"",INDEX(OHZ_HAZ_UNITTYPE,36,1)&lt;&gt;"",INDEX(OHZ_HAZ_TEUID,36,1)&lt;&gt;"",INDEX(OHZ_HAZ_LOCATION,36,1)&lt;&gt;"",INDEX(OHZ_HAZ_PACKAGES,36,1)&lt;&gt;"",INDEX(OHZ_HAZ_AMOUNT,36,1)&lt;&gt;"",),IF(OR(INDEX(OHZ_HAZ_DGCLASSIFI,36,1)="",INDEX(OHZ_HAZ_TEXTUALREF,36,1)="",INDEX(OHZ_HAZ_TOTAMOUNT,36,1)="",INDEX(OHZ_HAZ_DPGREF,36,1)="",INDEX(OHZ_HAZ_CONSIGNMENT,36,1)="",),FALSE,TRUE),TRUE)</f>
        <v>1</v>
      </c>
      <c r="K43" s="237" t="str">
        <f t="shared" si="2"/>
        <v>Row 36 - All mandatory fields must be given</v>
      </c>
      <c r="L43" s="236" t="s">
        <v>1853</v>
      </c>
      <c r="R43" s="52"/>
      <c r="S43" s="52"/>
      <c r="T43" s="52" t="s">
        <v>2128</v>
      </c>
      <c r="V43" s="52"/>
    </row>
    <row r="44" spans="1:22">
      <c r="A44" s="313" t="b">
        <f>OR(SEC_ISSC_TYPE="",COUNTIF(ISSC_types,SEC_ISSC_TYPE)=1)</f>
        <v>1</v>
      </c>
      <c r="B44" s="313" t="s">
        <v>2021</v>
      </c>
      <c r="F44" s="236" t="s">
        <v>1853</v>
      </c>
      <c r="G44" s="250" t="b">
        <f>IF(OR(INDEX(IHZ_HAZ_CONSIGNMENT,37,1)&lt;&gt;"",INDEX(IHZ_HAZ_TRANSDOCID,37,1)&lt;&gt;"",INDEX(IHZ_HAZ_PORTOFLOADING,37,1)&lt;&gt;"",INDEX(IHZ_HAZ_PORTOFDISCHARGE,37,1)&lt;&gt;"",INDEX(IHZ_HAZ_DPGREF,37,1)&lt;&gt;"",INDEX(IHZ_HAZ_DGCLASSIFI,37,1)&lt;&gt;"",INDEX(IHZ_HAZ_TEXTUALREF,37,1)&lt;&gt;"",INDEX(IHZ_HAZ_IMOHAZARDC,37,1)&lt;&gt;"",INDEX(IHZ_HAZ_UNNUMBER,37,1)&lt;&gt;"",INDEX(IHZ_HAZ_TOTAMOUNT,37,1)&lt;&gt;"",INDEX(IHZ_HAZ_PACKINGGRO,37,1)&lt;&gt;"",INDEX(IHZ_HAZ_FLASHPOINT,37,1)&lt;&gt;"",INDEX(IHZ_HAZ_MARPOLCODE,37,1)&lt;&gt;"",INDEX(IHZ_HAZ_PACTYPE,37,1)&lt;&gt;"",INDEX(IHZ_HAZ_TOTALPACKA,37,1)&lt;&gt;"",INDEX(IHZ_HAZ_ADDITIONAL,37,1)&lt;&gt;"",INDEX(IHZ_HAZ_EMS,37,1)&lt;&gt;"",INDEX(IHZ_HAZ_SUBSIDIARY,37,1)&lt;&gt;"",INDEX(IHZ_HAZ_UNITTYPE,37,1)&lt;&gt;"",INDEX(IHZ_HAZ_TEUID,37,1)&lt;&gt;"",INDEX(IHZ_HAZ_LOCATION,37,1)&lt;&gt;"",INDEX(IHZ_HAZ_PACKAGES,37,1)&lt;&gt;"",INDEX(IHZ_HAZ_AMOUNT,37,1)&lt;&gt;"",),IF(OR(INDEX(IHZ_HAZ_DGCLASSIFI,37,1)="",INDEX(IHZ_HAZ_TEXTUALREF,37,1)="",INDEX(IHZ_HAZ_TOTAMOUNT,37,1)="",INDEX(IHZ_HAZ_DPGREF,37,1)="",INDEX(IHZ_HAZ_CONSIGNMENT,37,1)="",),FALSE,TRUE),TRUE)</f>
        <v>1</v>
      </c>
      <c r="H44" s="237" t="str">
        <f t="shared" si="1"/>
        <v>Row 37 - All mandatory fields must be given</v>
      </c>
      <c r="I44" s="236" t="s">
        <v>1853</v>
      </c>
      <c r="J44" s="52" t="b">
        <f>IF(OR(INDEX(OHZ_HAZ_CONSIGNMENT,37,1)&lt;&gt;"",INDEX(OHZ_HAZ_TRANSDOCID,37,1)&lt;&gt;"",INDEX(OHZ_HAZ_PORTOFLOADING,37,1)&lt;&gt;"",INDEX(OHZ_HAZ_PORTOFDISCHARGE,37,1)&lt;&gt;"",INDEX(OHZ_HAZ_DPGREF,37,1)&lt;&gt;"",INDEX(OHZ_HAZ_DGCLASSIFI,37,1)&lt;&gt;"",INDEX(OHZ_HAZ_TEXTUALREF,37,1)&lt;&gt;"",INDEX(OHZ_HAZ_IMOHAZARDC,37,1)&lt;&gt;"",INDEX(OHZ_HAZ_UNNUMBER,37,1)&lt;&gt;"",INDEX(OHZ_HAZ_TOTAMOUNT,37,1)&lt;&gt;"",INDEX(OHZ_HAZ_PACKINGGRO,37,1)&lt;&gt;"",INDEX(OHZ_HAZ_FLASHPOINT,37,1)&lt;&gt;"",INDEX(OHZ_HAZ_MARPOLCODE,37,1)&lt;&gt;"",INDEX(OHZ_HAZ_PACTYPE,37,1)&lt;&gt;"",INDEX(OHZ_HAZ_TOTALPACKA,37,1)&lt;&gt;"",INDEX(OHZ_HAZ_ADDITIONAL,37,1)&lt;&gt;"",INDEX(OHZ_HAZ_EMS,37,1)&lt;&gt;"",INDEX(OHZ_HAZ_SUBSIDIARY,37,1)&lt;&gt;"",INDEX(OHZ_HAZ_UNITTYPE,37,1)&lt;&gt;"",INDEX(OHZ_HAZ_TEUID,37,1)&lt;&gt;"",INDEX(OHZ_HAZ_LOCATION,37,1)&lt;&gt;"",INDEX(OHZ_HAZ_PACKAGES,37,1)&lt;&gt;"",INDEX(OHZ_HAZ_AMOUNT,37,1)&lt;&gt;"",),IF(OR(INDEX(OHZ_HAZ_DGCLASSIFI,37,1)="",INDEX(OHZ_HAZ_TEXTUALREF,37,1)="",INDEX(OHZ_HAZ_TOTAMOUNT,37,1)="",INDEX(OHZ_HAZ_DPGREF,37,1)="",INDEX(OHZ_HAZ_CONSIGNMENT,37,1)="",),FALSE,TRUE),TRUE)</f>
        <v>1</v>
      </c>
      <c r="K44" s="237" t="str">
        <f t="shared" si="2"/>
        <v>Row 37 - All mandatory fields must be given</v>
      </c>
      <c r="L44" s="236" t="s">
        <v>1853</v>
      </c>
      <c r="R44" s="52"/>
      <c r="S44" s="52"/>
      <c r="T44" s="52" t="s">
        <v>2129</v>
      </c>
      <c r="V44" s="52"/>
    </row>
    <row r="45" spans="1:22">
      <c r="A45" s="313" t="b">
        <f>LEN(SEC_ISSC_NUMBER)&lt;36</f>
        <v>1</v>
      </c>
      <c r="B45" s="314" t="s">
        <v>2022</v>
      </c>
      <c r="F45" s="236" t="s">
        <v>1853</v>
      </c>
      <c r="G45" s="250" t="b">
        <f>IF(OR(INDEX(IHZ_HAZ_CONSIGNMENT,38,1)&lt;&gt;"",INDEX(IHZ_HAZ_TRANSDOCID,38,1)&lt;&gt;"",INDEX(IHZ_HAZ_PORTOFLOADING,38,1)&lt;&gt;"",INDEX(IHZ_HAZ_PORTOFDISCHARGE,38,1)&lt;&gt;"",INDEX(IHZ_HAZ_DPGREF,38,1)&lt;&gt;"",INDEX(IHZ_HAZ_DGCLASSIFI,38,1)&lt;&gt;"",INDEX(IHZ_HAZ_TEXTUALREF,38,1)&lt;&gt;"",INDEX(IHZ_HAZ_IMOHAZARDC,38,1)&lt;&gt;"",INDEX(IHZ_HAZ_UNNUMBER,38,1)&lt;&gt;"",INDEX(IHZ_HAZ_TOTAMOUNT,38,1)&lt;&gt;"",INDEX(IHZ_HAZ_PACKINGGRO,38,1)&lt;&gt;"",INDEX(IHZ_HAZ_FLASHPOINT,38,1)&lt;&gt;"",INDEX(IHZ_HAZ_MARPOLCODE,38,1)&lt;&gt;"",INDEX(IHZ_HAZ_PACTYPE,38,1)&lt;&gt;"",INDEX(IHZ_HAZ_TOTALPACKA,38,1)&lt;&gt;"",INDEX(IHZ_HAZ_ADDITIONAL,38,1)&lt;&gt;"",INDEX(IHZ_HAZ_EMS,38,1)&lt;&gt;"",INDEX(IHZ_HAZ_SUBSIDIARY,38,1)&lt;&gt;"",INDEX(IHZ_HAZ_UNITTYPE,38,1)&lt;&gt;"",INDEX(IHZ_HAZ_TEUID,38,1)&lt;&gt;"",INDEX(IHZ_HAZ_LOCATION,38,1)&lt;&gt;"",INDEX(IHZ_HAZ_PACKAGES,38,1)&lt;&gt;"",INDEX(IHZ_HAZ_AMOUNT,38,1)&lt;&gt;"",),IF(OR(INDEX(IHZ_HAZ_DGCLASSIFI,38,1)="",INDEX(IHZ_HAZ_TEXTUALREF,38,1)="",INDEX(IHZ_HAZ_TOTAMOUNT,38,1)="",INDEX(IHZ_HAZ_DPGREF,38,1)="",INDEX(IHZ_HAZ_CONSIGNMENT,38,1)="",),FALSE,TRUE),TRUE)</f>
        <v>1</v>
      </c>
      <c r="H45" s="237" t="str">
        <f t="shared" si="1"/>
        <v>Row 38 - All mandatory fields must be given</v>
      </c>
      <c r="I45" s="236" t="s">
        <v>1853</v>
      </c>
      <c r="J45" s="52" t="b">
        <f>IF(OR(INDEX(OHZ_HAZ_CONSIGNMENT,38,1)&lt;&gt;"",INDEX(OHZ_HAZ_TRANSDOCID,38,1)&lt;&gt;"",INDEX(OHZ_HAZ_PORTOFLOADING,38,1)&lt;&gt;"",INDEX(OHZ_HAZ_PORTOFDISCHARGE,38,1)&lt;&gt;"",INDEX(OHZ_HAZ_DPGREF,38,1)&lt;&gt;"",INDEX(OHZ_HAZ_DGCLASSIFI,38,1)&lt;&gt;"",INDEX(OHZ_HAZ_TEXTUALREF,38,1)&lt;&gt;"",INDEX(OHZ_HAZ_IMOHAZARDC,38,1)&lt;&gt;"",INDEX(OHZ_HAZ_UNNUMBER,38,1)&lt;&gt;"",INDEX(OHZ_HAZ_TOTAMOUNT,38,1)&lt;&gt;"",INDEX(OHZ_HAZ_PACKINGGRO,38,1)&lt;&gt;"",INDEX(OHZ_HAZ_FLASHPOINT,38,1)&lt;&gt;"",INDEX(OHZ_HAZ_MARPOLCODE,38,1)&lt;&gt;"",INDEX(OHZ_HAZ_PACTYPE,38,1)&lt;&gt;"",INDEX(OHZ_HAZ_TOTALPACKA,38,1)&lt;&gt;"",INDEX(OHZ_HAZ_ADDITIONAL,38,1)&lt;&gt;"",INDEX(OHZ_HAZ_EMS,38,1)&lt;&gt;"",INDEX(OHZ_HAZ_SUBSIDIARY,38,1)&lt;&gt;"",INDEX(OHZ_HAZ_UNITTYPE,38,1)&lt;&gt;"",INDEX(OHZ_HAZ_TEUID,38,1)&lt;&gt;"",INDEX(OHZ_HAZ_LOCATION,38,1)&lt;&gt;"",INDEX(OHZ_HAZ_PACKAGES,38,1)&lt;&gt;"",INDEX(OHZ_HAZ_AMOUNT,38,1)&lt;&gt;"",),IF(OR(INDEX(OHZ_HAZ_DGCLASSIFI,38,1)="",INDEX(OHZ_HAZ_TEXTUALREF,38,1)="",INDEX(OHZ_HAZ_TOTAMOUNT,38,1)="",INDEX(OHZ_HAZ_DPGREF,38,1)="",INDEX(OHZ_HAZ_CONSIGNMENT,38,1)="",),FALSE,TRUE),TRUE)</f>
        <v>1</v>
      </c>
      <c r="K45" s="237" t="str">
        <f t="shared" si="2"/>
        <v>Row 38 - All mandatory fields must be given</v>
      </c>
      <c r="L45" s="236" t="s">
        <v>1853</v>
      </c>
      <c r="R45" s="52"/>
      <c r="S45" s="52"/>
      <c r="T45" s="52" t="s">
        <v>2130</v>
      </c>
      <c r="V45" s="52"/>
    </row>
    <row r="46" spans="1:22">
      <c r="A46" s="313" t="b">
        <f>OR(SEC_ISSC_ISSUERTYPE="",COUNTIF(REF_ISSUER_TYPE,SEC_ISSC_ISSUERTYPE)=1)</f>
        <v>1</v>
      </c>
      <c r="B46" s="313" t="s">
        <v>2023</v>
      </c>
      <c r="F46" s="236" t="s">
        <v>1853</v>
      </c>
      <c r="G46" s="250" t="b">
        <f>IF(OR(INDEX(IHZ_HAZ_CONSIGNMENT,39,1)&lt;&gt;"",INDEX(IHZ_HAZ_TRANSDOCID,39,1)&lt;&gt;"",INDEX(IHZ_HAZ_PORTOFLOADING,39,1)&lt;&gt;"",INDEX(IHZ_HAZ_PORTOFDISCHARGE,39,1)&lt;&gt;"",INDEX(IHZ_HAZ_DPGREF,39,1)&lt;&gt;"",INDEX(IHZ_HAZ_DGCLASSIFI,39,1)&lt;&gt;"",INDEX(IHZ_HAZ_TEXTUALREF,39,1)&lt;&gt;"",INDEX(IHZ_HAZ_IMOHAZARDC,39,1)&lt;&gt;"",INDEX(IHZ_HAZ_UNNUMBER,39,1)&lt;&gt;"",INDEX(IHZ_HAZ_TOTAMOUNT,39,1)&lt;&gt;"",INDEX(IHZ_HAZ_PACKINGGRO,39,1)&lt;&gt;"",INDEX(IHZ_HAZ_FLASHPOINT,39,1)&lt;&gt;"",INDEX(IHZ_HAZ_MARPOLCODE,39,1)&lt;&gt;"",INDEX(IHZ_HAZ_PACTYPE,39,1)&lt;&gt;"",INDEX(IHZ_HAZ_TOTALPACKA,39,1)&lt;&gt;"",INDEX(IHZ_HAZ_ADDITIONAL,39,1)&lt;&gt;"",INDEX(IHZ_HAZ_EMS,39,1)&lt;&gt;"",INDEX(IHZ_HAZ_SUBSIDIARY,39,1)&lt;&gt;"",INDEX(IHZ_HAZ_UNITTYPE,39,1)&lt;&gt;"",INDEX(IHZ_HAZ_TEUID,39,1)&lt;&gt;"",INDEX(IHZ_HAZ_LOCATION,39,1)&lt;&gt;"",INDEX(IHZ_HAZ_PACKAGES,39,1)&lt;&gt;"",INDEX(IHZ_HAZ_AMOUNT,39,1)&lt;&gt;"",),IF(OR(INDEX(IHZ_HAZ_DGCLASSIFI,39,1)="",INDEX(IHZ_HAZ_TEXTUALREF,39,1)="",INDEX(IHZ_HAZ_TOTAMOUNT,39,1)="",INDEX(IHZ_HAZ_DPGREF,39,1)="",INDEX(IHZ_HAZ_CONSIGNMENT,39,1)="",),FALSE,TRUE),TRUE)</f>
        <v>1</v>
      </c>
      <c r="H46" s="237" t="str">
        <f t="shared" si="1"/>
        <v>Row 39 - All mandatory fields must be given</v>
      </c>
      <c r="I46" s="236" t="s">
        <v>1853</v>
      </c>
      <c r="J46" s="52" t="b">
        <f>IF(OR(INDEX(OHZ_HAZ_CONSIGNMENT,39,1)&lt;&gt;"",INDEX(OHZ_HAZ_TRANSDOCID,39,1)&lt;&gt;"",INDEX(OHZ_HAZ_PORTOFLOADING,39,1)&lt;&gt;"",INDEX(OHZ_HAZ_PORTOFDISCHARGE,39,1)&lt;&gt;"",INDEX(OHZ_HAZ_DPGREF,39,1)&lt;&gt;"",INDEX(OHZ_HAZ_DGCLASSIFI,39,1)&lt;&gt;"",INDEX(OHZ_HAZ_TEXTUALREF,39,1)&lt;&gt;"",INDEX(OHZ_HAZ_IMOHAZARDC,39,1)&lt;&gt;"",INDEX(OHZ_HAZ_UNNUMBER,39,1)&lt;&gt;"",INDEX(OHZ_HAZ_TOTAMOUNT,39,1)&lt;&gt;"",INDEX(OHZ_HAZ_PACKINGGRO,39,1)&lt;&gt;"",INDEX(OHZ_HAZ_FLASHPOINT,39,1)&lt;&gt;"",INDEX(OHZ_HAZ_MARPOLCODE,39,1)&lt;&gt;"",INDEX(OHZ_HAZ_PACTYPE,39,1)&lt;&gt;"",INDEX(OHZ_HAZ_TOTALPACKA,39,1)&lt;&gt;"",INDEX(OHZ_HAZ_ADDITIONAL,39,1)&lt;&gt;"",INDEX(OHZ_HAZ_EMS,39,1)&lt;&gt;"",INDEX(OHZ_HAZ_SUBSIDIARY,39,1)&lt;&gt;"",INDEX(OHZ_HAZ_UNITTYPE,39,1)&lt;&gt;"",INDEX(OHZ_HAZ_TEUID,39,1)&lt;&gt;"",INDEX(OHZ_HAZ_LOCATION,39,1)&lt;&gt;"",INDEX(OHZ_HAZ_PACKAGES,39,1)&lt;&gt;"",INDEX(OHZ_HAZ_AMOUNT,39,1)&lt;&gt;"",),IF(OR(INDEX(OHZ_HAZ_DGCLASSIFI,39,1)="",INDEX(OHZ_HAZ_TEXTUALREF,39,1)="",INDEX(OHZ_HAZ_TOTAMOUNT,39,1)="",INDEX(OHZ_HAZ_DPGREF,39,1)="",INDEX(OHZ_HAZ_CONSIGNMENT,39,1)="",),FALSE,TRUE),TRUE)</f>
        <v>1</v>
      </c>
      <c r="K46" s="237" t="str">
        <f t="shared" si="2"/>
        <v>Row 39 - All mandatory fields must be given</v>
      </c>
      <c r="L46" s="236" t="s">
        <v>1853</v>
      </c>
      <c r="R46" s="52"/>
      <c r="S46" s="52"/>
      <c r="T46" s="52" t="s">
        <v>2131</v>
      </c>
      <c r="V46" s="52"/>
    </row>
    <row r="47" spans="1:22">
      <c r="A47" s="313" t="b">
        <f>LEN(SEC_ISSC_ISSUER)&lt;256</f>
        <v>1</v>
      </c>
      <c r="B47" s="313" t="s">
        <v>2024</v>
      </c>
      <c r="F47" s="236" t="s">
        <v>1853</v>
      </c>
      <c r="G47" s="250" t="b">
        <f>IF(OR(INDEX(IHZ_HAZ_CONSIGNMENT,40,1)&lt;&gt;"",INDEX(IHZ_HAZ_TRANSDOCID,40,1)&lt;&gt;"",INDEX(IHZ_HAZ_PORTOFLOADING,40,1)&lt;&gt;"",INDEX(IHZ_HAZ_PORTOFDISCHARGE,40,1)&lt;&gt;"",INDEX(IHZ_HAZ_DPGREF,40,1)&lt;&gt;"",INDEX(IHZ_HAZ_DGCLASSIFI,40,1)&lt;&gt;"",INDEX(IHZ_HAZ_TEXTUALREF,40,1)&lt;&gt;"",INDEX(IHZ_HAZ_IMOHAZARDC,40,1)&lt;&gt;"",INDEX(IHZ_HAZ_UNNUMBER,40,1)&lt;&gt;"",INDEX(IHZ_HAZ_TOTAMOUNT,40,1)&lt;&gt;"",INDEX(IHZ_HAZ_PACKINGGRO,40,1)&lt;&gt;"",INDEX(IHZ_HAZ_FLASHPOINT,40,1)&lt;&gt;"",INDEX(IHZ_HAZ_MARPOLCODE,40,1)&lt;&gt;"",INDEX(IHZ_HAZ_PACTYPE,40,1)&lt;&gt;"",INDEX(IHZ_HAZ_TOTALPACKA,40,1)&lt;&gt;"",INDEX(IHZ_HAZ_ADDITIONAL,40,1)&lt;&gt;"",INDEX(IHZ_HAZ_EMS,40,1)&lt;&gt;"",INDEX(IHZ_HAZ_SUBSIDIARY,40,1)&lt;&gt;"",INDEX(IHZ_HAZ_UNITTYPE,40,1)&lt;&gt;"",INDEX(IHZ_HAZ_TEUID,40,1)&lt;&gt;"",INDEX(IHZ_HAZ_LOCATION,40,1)&lt;&gt;"",INDEX(IHZ_HAZ_PACKAGES,40,1)&lt;&gt;"",INDEX(IHZ_HAZ_AMOUNT,40,1)&lt;&gt;"",),IF(OR(INDEX(IHZ_HAZ_DGCLASSIFI,40,1)="",INDEX(IHZ_HAZ_TEXTUALREF,40,1)="",INDEX(IHZ_HAZ_TOTAMOUNT,40,1)="",INDEX(IHZ_HAZ_DPGREF,40,1)="",INDEX(IHZ_HAZ_CONSIGNMENT,40,1)="",),FALSE,TRUE),TRUE)</f>
        <v>1</v>
      </c>
      <c r="H47" s="237" t="str">
        <f t="shared" si="1"/>
        <v>Row 40 - All mandatory fields must be given</v>
      </c>
      <c r="I47" s="236" t="s">
        <v>1853</v>
      </c>
      <c r="J47" s="52" t="b">
        <f>IF(OR(INDEX(OHZ_HAZ_CONSIGNMENT,40,1)&lt;&gt;"",INDEX(OHZ_HAZ_TRANSDOCID,40,1)&lt;&gt;"",INDEX(OHZ_HAZ_PORTOFLOADING,40,1)&lt;&gt;"",INDEX(OHZ_HAZ_PORTOFDISCHARGE,40,1)&lt;&gt;"",INDEX(OHZ_HAZ_DPGREF,40,1)&lt;&gt;"",INDEX(OHZ_HAZ_DGCLASSIFI,40,1)&lt;&gt;"",INDEX(OHZ_HAZ_TEXTUALREF,40,1)&lt;&gt;"",INDEX(OHZ_HAZ_IMOHAZARDC,40,1)&lt;&gt;"",INDEX(OHZ_HAZ_UNNUMBER,40,1)&lt;&gt;"",INDEX(OHZ_HAZ_TOTAMOUNT,40,1)&lt;&gt;"",INDEX(OHZ_HAZ_PACKINGGRO,40,1)&lt;&gt;"",INDEX(OHZ_HAZ_FLASHPOINT,40,1)&lt;&gt;"",INDEX(OHZ_HAZ_MARPOLCODE,40,1)&lt;&gt;"",INDEX(OHZ_HAZ_PACTYPE,40,1)&lt;&gt;"",INDEX(OHZ_HAZ_TOTALPACKA,40,1)&lt;&gt;"",INDEX(OHZ_HAZ_ADDITIONAL,40,1)&lt;&gt;"",INDEX(OHZ_HAZ_EMS,40,1)&lt;&gt;"",INDEX(OHZ_HAZ_SUBSIDIARY,40,1)&lt;&gt;"",INDEX(OHZ_HAZ_UNITTYPE,40,1)&lt;&gt;"",INDEX(OHZ_HAZ_TEUID,40,1)&lt;&gt;"",INDEX(OHZ_HAZ_LOCATION,40,1)&lt;&gt;"",INDEX(OHZ_HAZ_PACKAGES,40,1)&lt;&gt;"",INDEX(OHZ_HAZ_AMOUNT,40,1)&lt;&gt;"",),IF(OR(INDEX(OHZ_HAZ_DGCLASSIFI,40,1)="",INDEX(OHZ_HAZ_TEXTUALREF,40,1)="",INDEX(OHZ_HAZ_TOTAMOUNT,40,1)="",INDEX(OHZ_HAZ_DPGREF,40,1)="",INDEX(OHZ_HAZ_CONSIGNMENT,40,1)="",),FALSE,TRUE),TRUE)</f>
        <v>1</v>
      </c>
      <c r="K47" s="237" t="str">
        <f t="shared" si="2"/>
        <v>Row 40 - All mandatory fields must be given</v>
      </c>
      <c r="L47" s="236" t="s">
        <v>1853</v>
      </c>
      <c r="R47" s="52"/>
      <c r="S47" s="52"/>
      <c r="T47" s="52" t="s">
        <v>2132</v>
      </c>
      <c r="V47" s="52"/>
    </row>
    <row r="48" spans="1:22">
      <c r="A48" s="313" t="b">
        <f>OR(SEC_ISSC_EXPIRY="",NOT(ISERROR(DATEVALUE(TEXT(SEC_ISSC_EXPIRY,"dd/mm/yyyy")))))</f>
        <v>1</v>
      </c>
      <c r="B48" s="313" t="s">
        <v>2025</v>
      </c>
      <c r="F48" s="236" t="s">
        <v>1853</v>
      </c>
      <c r="G48" s="250" t="b">
        <f>IF(OR(INDEX(IHZ_HAZ_CONSIGNMENT,41,1)&lt;&gt;"",INDEX(IHZ_HAZ_TRANSDOCID,41,1)&lt;&gt;"",INDEX(IHZ_HAZ_PORTOFLOADING,41,1)&lt;&gt;"",INDEX(IHZ_HAZ_PORTOFDISCHARGE,41,1)&lt;&gt;"",INDEX(IHZ_HAZ_DPGREF,41,1)&lt;&gt;"",INDEX(IHZ_HAZ_DGCLASSIFI,41,1)&lt;&gt;"",INDEX(IHZ_HAZ_TEXTUALREF,41,1)&lt;&gt;"",INDEX(IHZ_HAZ_IMOHAZARDC,41,1)&lt;&gt;"",INDEX(IHZ_HAZ_UNNUMBER,41,1)&lt;&gt;"",INDEX(IHZ_HAZ_TOTAMOUNT,41,1)&lt;&gt;"",INDEX(IHZ_HAZ_PACKINGGRO,41,1)&lt;&gt;"",INDEX(IHZ_HAZ_FLASHPOINT,41,1)&lt;&gt;"",INDEX(IHZ_HAZ_MARPOLCODE,41,1)&lt;&gt;"",INDEX(IHZ_HAZ_PACTYPE,41,1)&lt;&gt;"",INDEX(IHZ_HAZ_TOTALPACKA,41,1)&lt;&gt;"",INDEX(IHZ_HAZ_ADDITIONAL,41,1)&lt;&gt;"",INDEX(IHZ_HAZ_EMS,41,1)&lt;&gt;"",INDEX(IHZ_HAZ_SUBSIDIARY,41,1)&lt;&gt;"",INDEX(IHZ_HAZ_UNITTYPE,41,1)&lt;&gt;"",INDEX(IHZ_HAZ_TEUID,41,1)&lt;&gt;"",INDEX(IHZ_HAZ_LOCATION,41,1)&lt;&gt;"",INDEX(IHZ_HAZ_PACKAGES,41,1)&lt;&gt;"",INDEX(IHZ_HAZ_AMOUNT,41,1)&lt;&gt;"",),IF(OR(INDEX(IHZ_HAZ_DGCLASSIFI,41,1)="",INDEX(IHZ_HAZ_TEXTUALREF,41,1)="",INDEX(IHZ_HAZ_TOTAMOUNT,41,1)="",INDEX(IHZ_HAZ_DPGREF,41,1)="",INDEX(IHZ_HAZ_CONSIGNMENT,41,1)="",),FALSE,TRUE),TRUE)</f>
        <v>1</v>
      </c>
      <c r="H48" s="237" t="str">
        <f t="shared" si="1"/>
        <v>Row 41 - All mandatory fields must be given</v>
      </c>
      <c r="I48" s="236" t="s">
        <v>1853</v>
      </c>
      <c r="J48" s="52" t="b">
        <f>IF(OR(INDEX(OHZ_HAZ_CONSIGNMENT,41,1)&lt;&gt;"",INDEX(OHZ_HAZ_TRANSDOCID,41,1)&lt;&gt;"",INDEX(OHZ_HAZ_PORTOFLOADING,41,1)&lt;&gt;"",INDEX(OHZ_HAZ_PORTOFDISCHARGE,41,1)&lt;&gt;"",INDEX(OHZ_HAZ_DPGREF,41,1)&lt;&gt;"",INDEX(OHZ_HAZ_DGCLASSIFI,41,1)&lt;&gt;"",INDEX(OHZ_HAZ_TEXTUALREF,41,1)&lt;&gt;"",INDEX(OHZ_HAZ_IMOHAZARDC,41,1)&lt;&gt;"",INDEX(OHZ_HAZ_UNNUMBER,41,1)&lt;&gt;"",INDEX(OHZ_HAZ_TOTAMOUNT,41,1)&lt;&gt;"",INDEX(OHZ_HAZ_PACKINGGRO,41,1)&lt;&gt;"",INDEX(OHZ_HAZ_FLASHPOINT,41,1)&lt;&gt;"",INDEX(OHZ_HAZ_MARPOLCODE,41,1)&lt;&gt;"",INDEX(OHZ_HAZ_PACTYPE,41,1)&lt;&gt;"",INDEX(OHZ_HAZ_TOTALPACKA,41,1)&lt;&gt;"",INDEX(OHZ_HAZ_ADDITIONAL,41,1)&lt;&gt;"",INDEX(OHZ_HAZ_EMS,41,1)&lt;&gt;"",INDEX(OHZ_HAZ_SUBSIDIARY,41,1)&lt;&gt;"",INDEX(OHZ_HAZ_UNITTYPE,41,1)&lt;&gt;"",INDEX(OHZ_HAZ_TEUID,41,1)&lt;&gt;"",INDEX(OHZ_HAZ_LOCATION,41,1)&lt;&gt;"",INDEX(OHZ_HAZ_PACKAGES,41,1)&lt;&gt;"",INDEX(OHZ_HAZ_AMOUNT,41,1)&lt;&gt;"",),IF(OR(INDEX(OHZ_HAZ_DGCLASSIFI,41,1)="",INDEX(OHZ_HAZ_TEXTUALREF,41,1)="",INDEX(OHZ_HAZ_TOTAMOUNT,41,1)="",INDEX(OHZ_HAZ_DPGREF,41,1)="",INDEX(OHZ_HAZ_CONSIGNMENT,41,1)="",),FALSE,TRUE),TRUE)</f>
        <v>1</v>
      </c>
      <c r="K48" s="237" t="str">
        <f t="shared" si="2"/>
        <v>Row 41 - All mandatory fields must be given</v>
      </c>
      <c r="L48" s="236" t="s">
        <v>1853</v>
      </c>
      <c r="R48" s="52"/>
      <c r="S48" s="52"/>
      <c r="T48" s="52" t="s">
        <v>2133</v>
      </c>
      <c r="V48" s="52"/>
    </row>
    <row r="49" spans="1:22">
      <c r="A49" s="313" t="b">
        <f>OR(SEC_ISSC_ISVALID="",SEC_ISSC_ISVALID="FALSE",SEC_ISSC_ISVALID="TRUE")</f>
        <v>1</v>
      </c>
      <c r="B49" s="313" t="s">
        <v>2026</v>
      </c>
      <c r="F49" s="236" t="s">
        <v>1853</v>
      </c>
      <c r="G49" s="250" t="b">
        <f>IF(OR(INDEX(IHZ_HAZ_CONSIGNMENT,42,1)&lt;&gt;"",INDEX(IHZ_HAZ_TRANSDOCID,42,1)&lt;&gt;"",INDEX(IHZ_HAZ_PORTOFLOADING,42,1)&lt;&gt;"",INDEX(IHZ_HAZ_PORTOFDISCHARGE,42,1)&lt;&gt;"",INDEX(IHZ_HAZ_DPGREF,42,1)&lt;&gt;"",INDEX(IHZ_HAZ_DGCLASSIFI,42,1)&lt;&gt;"",INDEX(IHZ_HAZ_TEXTUALREF,42,1)&lt;&gt;"",INDEX(IHZ_HAZ_IMOHAZARDC,42,1)&lt;&gt;"",INDEX(IHZ_HAZ_UNNUMBER,42,1)&lt;&gt;"",INDEX(IHZ_HAZ_TOTAMOUNT,42,1)&lt;&gt;"",INDEX(IHZ_HAZ_PACKINGGRO,42,1)&lt;&gt;"",INDEX(IHZ_HAZ_FLASHPOINT,42,1)&lt;&gt;"",INDEX(IHZ_HAZ_MARPOLCODE,42,1)&lt;&gt;"",INDEX(IHZ_HAZ_PACTYPE,42,1)&lt;&gt;"",INDEX(IHZ_HAZ_TOTALPACKA,42,1)&lt;&gt;"",INDEX(IHZ_HAZ_ADDITIONAL,42,1)&lt;&gt;"",INDEX(IHZ_HAZ_EMS,42,1)&lt;&gt;"",INDEX(IHZ_HAZ_SUBSIDIARY,42,1)&lt;&gt;"",INDEX(IHZ_HAZ_UNITTYPE,42,1)&lt;&gt;"",INDEX(IHZ_HAZ_TEUID,42,1)&lt;&gt;"",INDEX(IHZ_HAZ_LOCATION,42,1)&lt;&gt;"",INDEX(IHZ_HAZ_PACKAGES,42,1)&lt;&gt;"",INDEX(IHZ_HAZ_AMOUNT,42,1)&lt;&gt;"",),IF(OR(INDEX(IHZ_HAZ_DGCLASSIFI,42,1)="",INDEX(IHZ_HAZ_TEXTUALREF,42,1)="",INDEX(IHZ_HAZ_TOTAMOUNT,42,1)="",INDEX(IHZ_HAZ_DPGREF,42,1)="",INDEX(IHZ_HAZ_CONSIGNMENT,42,1)="",),FALSE,TRUE),TRUE)</f>
        <v>1</v>
      </c>
      <c r="H49" s="237" t="str">
        <f t="shared" si="1"/>
        <v>Row 42 - All mandatory fields must be given</v>
      </c>
      <c r="I49" s="236" t="s">
        <v>1853</v>
      </c>
      <c r="J49" s="52" t="b">
        <f>IF(OR(INDEX(OHZ_HAZ_CONSIGNMENT,42,1)&lt;&gt;"",INDEX(OHZ_HAZ_TRANSDOCID,42,1)&lt;&gt;"",INDEX(OHZ_HAZ_PORTOFLOADING,42,1)&lt;&gt;"",INDEX(OHZ_HAZ_PORTOFDISCHARGE,42,1)&lt;&gt;"",INDEX(OHZ_HAZ_DPGREF,42,1)&lt;&gt;"",INDEX(OHZ_HAZ_DGCLASSIFI,42,1)&lt;&gt;"",INDEX(OHZ_HAZ_TEXTUALREF,42,1)&lt;&gt;"",INDEX(OHZ_HAZ_IMOHAZARDC,42,1)&lt;&gt;"",INDEX(OHZ_HAZ_UNNUMBER,42,1)&lt;&gt;"",INDEX(OHZ_HAZ_TOTAMOUNT,42,1)&lt;&gt;"",INDEX(OHZ_HAZ_PACKINGGRO,42,1)&lt;&gt;"",INDEX(OHZ_HAZ_FLASHPOINT,42,1)&lt;&gt;"",INDEX(OHZ_HAZ_MARPOLCODE,42,1)&lt;&gt;"",INDEX(OHZ_HAZ_PACTYPE,42,1)&lt;&gt;"",INDEX(OHZ_HAZ_TOTALPACKA,42,1)&lt;&gt;"",INDEX(OHZ_HAZ_ADDITIONAL,42,1)&lt;&gt;"",INDEX(OHZ_HAZ_EMS,42,1)&lt;&gt;"",INDEX(OHZ_HAZ_SUBSIDIARY,42,1)&lt;&gt;"",INDEX(OHZ_HAZ_UNITTYPE,42,1)&lt;&gt;"",INDEX(OHZ_HAZ_TEUID,42,1)&lt;&gt;"",INDEX(OHZ_HAZ_LOCATION,42,1)&lt;&gt;"",INDEX(OHZ_HAZ_PACKAGES,42,1)&lt;&gt;"",INDEX(OHZ_HAZ_AMOUNT,42,1)&lt;&gt;"",),IF(OR(INDEX(OHZ_HAZ_DGCLASSIFI,42,1)="",INDEX(OHZ_HAZ_TEXTUALREF,42,1)="",INDEX(OHZ_HAZ_TOTAMOUNT,42,1)="",INDEX(OHZ_HAZ_DPGREF,42,1)="",INDEX(OHZ_HAZ_CONSIGNMENT,42,1)="",),FALSE,TRUE),TRUE)</f>
        <v>1</v>
      </c>
      <c r="K49" s="237" t="str">
        <f t="shared" si="2"/>
        <v>Row 42 - All mandatory fields must be given</v>
      </c>
      <c r="L49" s="236" t="s">
        <v>1853</v>
      </c>
      <c r="R49" s="52"/>
      <c r="S49" s="52"/>
      <c r="T49" s="52" t="s">
        <v>2134</v>
      </c>
      <c r="V49" s="52"/>
    </row>
    <row r="50" spans="1:22">
      <c r="A50" s="313" t="b">
        <f>LEN(SEC_ISSC_REASON)&lt;256</f>
        <v>1</v>
      </c>
      <c r="B50" s="313" t="s">
        <v>2027</v>
      </c>
      <c r="F50" s="236" t="s">
        <v>1853</v>
      </c>
      <c r="G50" s="250" t="b">
        <f>IF(OR(INDEX(IHZ_HAZ_CONSIGNMENT,43,1)&lt;&gt;"",INDEX(IHZ_HAZ_TRANSDOCID,43,1)&lt;&gt;"",INDEX(IHZ_HAZ_PORTOFLOADING,43,1)&lt;&gt;"",INDEX(IHZ_HAZ_PORTOFDISCHARGE,43,1)&lt;&gt;"",INDEX(IHZ_HAZ_DPGREF,43,1)&lt;&gt;"",INDEX(IHZ_HAZ_DGCLASSIFI,43,1)&lt;&gt;"",INDEX(IHZ_HAZ_TEXTUALREF,43,1)&lt;&gt;"",INDEX(IHZ_HAZ_IMOHAZARDC,43,1)&lt;&gt;"",INDEX(IHZ_HAZ_UNNUMBER,43,1)&lt;&gt;"",INDEX(IHZ_HAZ_TOTAMOUNT,43,1)&lt;&gt;"",INDEX(IHZ_HAZ_PACKINGGRO,43,1)&lt;&gt;"",INDEX(IHZ_HAZ_FLASHPOINT,43,1)&lt;&gt;"",INDEX(IHZ_HAZ_MARPOLCODE,43,1)&lt;&gt;"",INDEX(IHZ_HAZ_PACTYPE,43,1)&lt;&gt;"",INDEX(IHZ_HAZ_TOTALPACKA,43,1)&lt;&gt;"",INDEX(IHZ_HAZ_ADDITIONAL,43,1)&lt;&gt;"",INDEX(IHZ_HAZ_EMS,43,1)&lt;&gt;"",INDEX(IHZ_HAZ_SUBSIDIARY,43,1)&lt;&gt;"",INDEX(IHZ_HAZ_UNITTYPE,43,1)&lt;&gt;"",INDEX(IHZ_HAZ_TEUID,43,1)&lt;&gt;"",INDEX(IHZ_HAZ_LOCATION,43,1)&lt;&gt;"",INDEX(IHZ_HAZ_PACKAGES,43,1)&lt;&gt;"",INDEX(IHZ_HAZ_AMOUNT,43,1)&lt;&gt;"",),IF(OR(INDEX(IHZ_HAZ_DGCLASSIFI,43,1)="",INDEX(IHZ_HAZ_TEXTUALREF,43,1)="",INDEX(IHZ_HAZ_TOTAMOUNT,43,1)="",INDEX(IHZ_HAZ_DPGREF,43,1)="",INDEX(IHZ_HAZ_CONSIGNMENT,43,1)="",),FALSE,TRUE),TRUE)</f>
        <v>1</v>
      </c>
      <c r="H50" s="237" t="str">
        <f t="shared" si="1"/>
        <v>Row 43 - All mandatory fields must be given</v>
      </c>
      <c r="I50" s="236" t="s">
        <v>1853</v>
      </c>
      <c r="J50" s="52" t="b">
        <f>IF(OR(INDEX(OHZ_HAZ_CONSIGNMENT,43,1)&lt;&gt;"",INDEX(OHZ_HAZ_TRANSDOCID,43,1)&lt;&gt;"",INDEX(OHZ_HAZ_PORTOFLOADING,43,1)&lt;&gt;"",INDEX(OHZ_HAZ_PORTOFDISCHARGE,43,1)&lt;&gt;"",INDEX(OHZ_HAZ_DPGREF,43,1)&lt;&gt;"",INDEX(OHZ_HAZ_DGCLASSIFI,43,1)&lt;&gt;"",INDEX(OHZ_HAZ_TEXTUALREF,43,1)&lt;&gt;"",INDEX(OHZ_HAZ_IMOHAZARDC,43,1)&lt;&gt;"",INDEX(OHZ_HAZ_UNNUMBER,43,1)&lt;&gt;"",INDEX(OHZ_HAZ_TOTAMOUNT,43,1)&lt;&gt;"",INDEX(OHZ_HAZ_PACKINGGRO,43,1)&lt;&gt;"",INDEX(OHZ_HAZ_FLASHPOINT,43,1)&lt;&gt;"",INDEX(OHZ_HAZ_MARPOLCODE,43,1)&lt;&gt;"",INDEX(OHZ_HAZ_PACTYPE,43,1)&lt;&gt;"",INDEX(OHZ_HAZ_TOTALPACKA,43,1)&lt;&gt;"",INDEX(OHZ_HAZ_ADDITIONAL,43,1)&lt;&gt;"",INDEX(OHZ_HAZ_EMS,43,1)&lt;&gt;"",INDEX(OHZ_HAZ_SUBSIDIARY,43,1)&lt;&gt;"",INDEX(OHZ_HAZ_UNITTYPE,43,1)&lt;&gt;"",INDEX(OHZ_HAZ_TEUID,43,1)&lt;&gt;"",INDEX(OHZ_HAZ_LOCATION,43,1)&lt;&gt;"",INDEX(OHZ_HAZ_PACKAGES,43,1)&lt;&gt;"",INDEX(OHZ_HAZ_AMOUNT,43,1)&lt;&gt;"",),IF(OR(INDEX(OHZ_HAZ_DGCLASSIFI,43,1)="",INDEX(OHZ_HAZ_TEXTUALREF,43,1)="",INDEX(OHZ_HAZ_TOTAMOUNT,43,1)="",INDEX(OHZ_HAZ_DPGREF,43,1)="",INDEX(OHZ_HAZ_CONSIGNMENT,43,1)="",),FALSE,TRUE),TRUE)</f>
        <v>1</v>
      </c>
      <c r="K50" s="237" t="str">
        <f t="shared" si="2"/>
        <v>Row 43 - All mandatory fields must be given</v>
      </c>
      <c r="L50" s="236" t="s">
        <v>1853</v>
      </c>
      <c r="R50" s="52"/>
      <c r="S50" s="52"/>
      <c r="T50" s="52" t="s">
        <v>2135</v>
      </c>
      <c r="V50" s="52"/>
    </row>
    <row r="51" spans="1:22">
      <c r="A51" s="313" t="b">
        <f>OR(AND(LEN(SEC_SRC_SOURCE)&gt;2,LEN(SEC_SRC_SOURCE)&lt;33),SEC_SRC_SOURCE="")</f>
        <v>1</v>
      </c>
      <c r="B51" s="313" t="s">
        <v>2028</v>
      </c>
      <c r="F51" s="236" t="s">
        <v>1853</v>
      </c>
      <c r="G51" s="250" t="b">
        <f>IF(OR(INDEX(IHZ_HAZ_CONSIGNMENT,44,1)&lt;&gt;"",INDEX(IHZ_HAZ_TRANSDOCID,44,1)&lt;&gt;"",INDEX(IHZ_HAZ_PORTOFLOADING,44,1)&lt;&gt;"",INDEX(IHZ_HAZ_PORTOFDISCHARGE,44,1)&lt;&gt;"",INDEX(IHZ_HAZ_DPGREF,44,1)&lt;&gt;"",INDEX(IHZ_HAZ_DGCLASSIFI,44,1)&lt;&gt;"",INDEX(IHZ_HAZ_TEXTUALREF,44,1)&lt;&gt;"",INDEX(IHZ_HAZ_IMOHAZARDC,44,1)&lt;&gt;"",INDEX(IHZ_HAZ_UNNUMBER,44,1)&lt;&gt;"",INDEX(IHZ_HAZ_TOTAMOUNT,44,1)&lt;&gt;"",INDEX(IHZ_HAZ_PACKINGGRO,44,1)&lt;&gt;"",INDEX(IHZ_HAZ_FLASHPOINT,44,1)&lt;&gt;"",INDEX(IHZ_HAZ_MARPOLCODE,44,1)&lt;&gt;"",INDEX(IHZ_HAZ_PACTYPE,44,1)&lt;&gt;"",INDEX(IHZ_HAZ_TOTALPACKA,44,1)&lt;&gt;"",INDEX(IHZ_HAZ_ADDITIONAL,44,1)&lt;&gt;"",INDEX(IHZ_HAZ_EMS,44,1)&lt;&gt;"",INDEX(IHZ_HAZ_SUBSIDIARY,44,1)&lt;&gt;"",INDEX(IHZ_HAZ_UNITTYPE,44,1)&lt;&gt;"",INDEX(IHZ_HAZ_TEUID,44,1)&lt;&gt;"",INDEX(IHZ_HAZ_LOCATION,44,1)&lt;&gt;"",INDEX(IHZ_HAZ_PACKAGES,44,1)&lt;&gt;"",INDEX(IHZ_HAZ_AMOUNT,44,1)&lt;&gt;"",),IF(OR(INDEX(IHZ_HAZ_DGCLASSIFI,44,1)="",INDEX(IHZ_HAZ_TEXTUALREF,44,1)="",INDEX(IHZ_HAZ_TOTAMOUNT,44,1)="",INDEX(IHZ_HAZ_DPGREF,44,1)="",INDEX(IHZ_HAZ_CONSIGNMENT,44,1)="",),FALSE,TRUE),TRUE)</f>
        <v>1</v>
      </c>
      <c r="H51" s="237" t="str">
        <f t="shared" si="1"/>
        <v>Row 44 - All mandatory fields must be given</v>
      </c>
      <c r="I51" s="236" t="s">
        <v>1853</v>
      </c>
      <c r="J51" s="52" t="b">
        <f>IF(OR(INDEX(OHZ_HAZ_CONSIGNMENT,44,1)&lt;&gt;"",INDEX(OHZ_HAZ_TRANSDOCID,44,1)&lt;&gt;"",INDEX(OHZ_HAZ_PORTOFLOADING,44,1)&lt;&gt;"",INDEX(OHZ_HAZ_PORTOFDISCHARGE,44,1)&lt;&gt;"",INDEX(OHZ_HAZ_DPGREF,44,1)&lt;&gt;"",INDEX(OHZ_HAZ_DGCLASSIFI,44,1)&lt;&gt;"",INDEX(OHZ_HAZ_TEXTUALREF,44,1)&lt;&gt;"",INDEX(OHZ_HAZ_IMOHAZARDC,44,1)&lt;&gt;"",INDEX(OHZ_HAZ_UNNUMBER,44,1)&lt;&gt;"",INDEX(OHZ_HAZ_TOTAMOUNT,44,1)&lt;&gt;"",INDEX(OHZ_HAZ_PACKINGGRO,44,1)&lt;&gt;"",INDEX(OHZ_HAZ_FLASHPOINT,44,1)&lt;&gt;"",INDEX(OHZ_HAZ_MARPOLCODE,44,1)&lt;&gt;"",INDEX(OHZ_HAZ_PACTYPE,44,1)&lt;&gt;"",INDEX(OHZ_HAZ_TOTALPACKA,44,1)&lt;&gt;"",INDEX(OHZ_HAZ_ADDITIONAL,44,1)&lt;&gt;"",INDEX(OHZ_HAZ_EMS,44,1)&lt;&gt;"",INDEX(OHZ_HAZ_SUBSIDIARY,44,1)&lt;&gt;"",INDEX(OHZ_HAZ_UNITTYPE,44,1)&lt;&gt;"",INDEX(OHZ_HAZ_TEUID,44,1)&lt;&gt;"",INDEX(OHZ_HAZ_LOCATION,44,1)&lt;&gt;"",INDEX(OHZ_HAZ_PACKAGES,44,1)&lt;&gt;"",INDEX(OHZ_HAZ_AMOUNT,44,1)&lt;&gt;"",),IF(OR(INDEX(OHZ_HAZ_DGCLASSIFI,44,1)="",INDEX(OHZ_HAZ_TEXTUALREF,44,1)="",INDEX(OHZ_HAZ_TOTAMOUNT,44,1)="",INDEX(OHZ_HAZ_DPGREF,44,1)="",INDEX(OHZ_HAZ_CONSIGNMENT,44,1)="",),FALSE,TRUE),TRUE)</f>
        <v>1</v>
      </c>
      <c r="K51" s="237" t="str">
        <f t="shared" si="2"/>
        <v>Row 44 - All mandatory fields must be given</v>
      </c>
      <c r="L51" s="236" t="s">
        <v>1853</v>
      </c>
      <c r="R51" s="52"/>
      <c r="S51" s="52"/>
      <c r="T51" s="52" t="s">
        <v>2136</v>
      </c>
      <c r="V51" s="52"/>
    </row>
    <row r="52" spans="1:22">
      <c r="A52" s="313" t="b">
        <f>OR(SEC_CURRENTSEC="",COUNTIF(REF_SECURITYLEVELS_OPTIONS,SEC_CURRENTSEC)=1)</f>
        <v>1</v>
      </c>
      <c r="B52" s="313" t="s">
        <v>2029</v>
      </c>
      <c r="F52" s="236" t="s">
        <v>1853</v>
      </c>
      <c r="G52" s="250" t="b">
        <f>IF(OR(INDEX(IHZ_HAZ_CONSIGNMENT,45,1)&lt;&gt;"",INDEX(IHZ_HAZ_TRANSDOCID,45,1)&lt;&gt;"",INDEX(IHZ_HAZ_PORTOFLOADING,45,1)&lt;&gt;"",INDEX(IHZ_HAZ_PORTOFDISCHARGE,45,1)&lt;&gt;"",INDEX(IHZ_HAZ_DPGREF,45,1)&lt;&gt;"",INDEX(IHZ_HAZ_DGCLASSIFI,45,1)&lt;&gt;"",INDEX(IHZ_HAZ_TEXTUALREF,45,1)&lt;&gt;"",INDEX(IHZ_HAZ_IMOHAZARDC,45,1)&lt;&gt;"",INDEX(IHZ_HAZ_UNNUMBER,45,1)&lt;&gt;"",INDEX(IHZ_HAZ_TOTAMOUNT,45,1)&lt;&gt;"",INDEX(IHZ_HAZ_PACKINGGRO,45,1)&lt;&gt;"",INDEX(IHZ_HAZ_FLASHPOINT,45,1)&lt;&gt;"",INDEX(IHZ_HAZ_MARPOLCODE,45,1)&lt;&gt;"",INDEX(IHZ_HAZ_PACTYPE,45,1)&lt;&gt;"",INDEX(IHZ_HAZ_TOTALPACKA,45,1)&lt;&gt;"",INDEX(IHZ_HAZ_ADDITIONAL,45,1)&lt;&gt;"",INDEX(IHZ_HAZ_EMS,45,1)&lt;&gt;"",INDEX(IHZ_HAZ_SUBSIDIARY,45,1)&lt;&gt;"",INDEX(IHZ_HAZ_UNITTYPE,45,1)&lt;&gt;"",INDEX(IHZ_HAZ_TEUID,45,1)&lt;&gt;"",INDEX(IHZ_HAZ_LOCATION,45,1)&lt;&gt;"",INDEX(IHZ_HAZ_PACKAGES,45,1)&lt;&gt;"",INDEX(IHZ_HAZ_AMOUNT,45,1)&lt;&gt;"",),IF(OR(INDEX(IHZ_HAZ_DGCLASSIFI,45,1)="",INDEX(IHZ_HAZ_TEXTUALREF,45,1)="",INDEX(IHZ_HAZ_TOTAMOUNT,45,1)="",INDEX(IHZ_HAZ_DPGREF,45,1)="",INDEX(IHZ_HAZ_CONSIGNMENT,45,1)="",),FALSE,TRUE),TRUE)</f>
        <v>1</v>
      </c>
      <c r="H52" s="237" t="str">
        <f t="shared" si="1"/>
        <v>Row 45 - All mandatory fields must be given</v>
      </c>
      <c r="I52" s="236" t="s">
        <v>1853</v>
      </c>
      <c r="J52" s="52" t="b">
        <f>IF(OR(INDEX(OHZ_HAZ_CONSIGNMENT,45,1)&lt;&gt;"",INDEX(OHZ_HAZ_TRANSDOCID,45,1)&lt;&gt;"",INDEX(OHZ_HAZ_PORTOFLOADING,45,1)&lt;&gt;"",INDEX(OHZ_HAZ_PORTOFDISCHARGE,45,1)&lt;&gt;"",INDEX(OHZ_HAZ_DPGREF,45,1)&lt;&gt;"",INDEX(OHZ_HAZ_DGCLASSIFI,45,1)&lt;&gt;"",INDEX(OHZ_HAZ_TEXTUALREF,45,1)&lt;&gt;"",INDEX(OHZ_HAZ_IMOHAZARDC,45,1)&lt;&gt;"",INDEX(OHZ_HAZ_UNNUMBER,45,1)&lt;&gt;"",INDEX(OHZ_HAZ_TOTAMOUNT,45,1)&lt;&gt;"",INDEX(OHZ_HAZ_PACKINGGRO,45,1)&lt;&gt;"",INDEX(OHZ_HAZ_FLASHPOINT,45,1)&lt;&gt;"",INDEX(OHZ_HAZ_MARPOLCODE,45,1)&lt;&gt;"",INDEX(OHZ_HAZ_PACTYPE,45,1)&lt;&gt;"",INDEX(OHZ_HAZ_TOTALPACKA,45,1)&lt;&gt;"",INDEX(OHZ_HAZ_ADDITIONAL,45,1)&lt;&gt;"",INDEX(OHZ_HAZ_EMS,45,1)&lt;&gt;"",INDEX(OHZ_HAZ_SUBSIDIARY,45,1)&lt;&gt;"",INDEX(OHZ_HAZ_UNITTYPE,45,1)&lt;&gt;"",INDEX(OHZ_HAZ_TEUID,45,1)&lt;&gt;"",INDEX(OHZ_HAZ_LOCATION,45,1)&lt;&gt;"",INDEX(OHZ_HAZ_PACKAGES,45,1)&lt;&gt;"",INDEX(OHZ_HAZ_AMOUNT,45,1)&lt;&gt;"",),IF(OR(INDEX(OHZ_HAZ_DGCLASSIFI,45,1)="",INDEX(OHZ_HAZ_TEXTUALREF,45,1)="",INDEX(OHZ_HAZ_TOTAMOUNT,45,1)="",INDEX(OHZ_HAZ_DPGREF,45,1)="",INDEX(OHZ_HAZ_CONSIGNMENT,45,1)="",),FALSE,TRUE),TRUE)</f>
        <v>1</v>
      </c>
      <c r="K52" s="237" t="str">
        <f t="shared" si="2"/>
        <v>Row 45 - All mandatory fields must be given</v>
      </c>
      <c r="L52" s="236" t="s">
        <v>1853</v>
      </c>
      <c r="R52" s="52"/>
      <c r="S52" s="52"/>
      <c r="T52" s="52" t="s">
        <v>2137</v>
      </c>
      <c r="V52" s="52"/>
    </row>
    <row r="53" spans="1:22">
      <c r="A53" s="313" t="b">
        <f>OR(SEC_SECURITYPL="",COUNTIF(REF_YES_NO,SEC_SECURITYPL)=1)</f>
        <v>1</v>
      </c>
      <c r="B53" s="313" t="s">
        <v>2030</v>
      </c>
      <c r="F53" s="236" t="s">
        <v>1853</v>
      </c>
      <c r="G53" s="250" t="b">
        <f>IF(OR(INDEX(IHZ_HAZ_CONSIGNMENT,46,1)&lt;&gt;"",INDEX(IHZ_HAZ_TRANSDOCID,46,1)&lt;&gt;"",INDEX(IHZ_HAZ_PORTOFLOADING,46,1)&lt;&gt;"",INDEX(IHZ_HAZ_PORTOFDISCHARGE,46,1)&lt;&gt;"",INDEX(IHZ_HAZ_DPGREF,46,1)&lt;&gt;"",INDEX(IHZ_HAZ_DGCLASSIFI,46,1)&lt;&gt;"",INDEX(IHZ_HAZ_TEXTUALREF,46,1)&lt;&gt;"",INDEX(IHZ_HAZ_IMOHAZARDC,46,1)&lt;&gt;"",INDEX(IHZ_HAZ_UNNUMBER,46,1)&lt;&gt;"",INDEX(IHZ_HAZ_TOTAMOUNT,46,1)&lt;&gt;"",INDEX(IHZ_HAZ_PACKINGGRO,46,1)&lt;&gt;"",INDEX(IHZ_HAZ_FLASHPOINT,46,1)&lt;&gt;"",INDEX(IHZ_HAZ_MARPOLCODE,46,1)&lt;&gt;"",INDEX(IHZ_HAZ_PACTYPE,46,1)&lt;&gt;"",INDEX(IHZ_HAZ_TOTALPACKA,46,1)&lt;&gt;"",INDEX(IHZ_HAZ_ADDITIONAL,46,1)&lt;&gt;"",INDEX(IHZ_HAZ_EMS,46,1)&lt;&gt;"",INDEX(IHZ_HAZ_SUBSIDIARY,46,1)&lt;&gt;"",INDEX(IHZ_HAZ_UNITTYPE,46,1)&lt;&gt;"",INDEX(IHZ_HAZ_TEUID,46,1)&lt;&gt;"",INDEX(IHZ_HAZ_LOCATION,46,1)&lt;&gt;"",INDEX(IHZ_HAZ_PACKAGES,46,1)&lt;&gt;"",INDEX(IHZ_HAZ_AMOUNT,46,1)&lt;&gt;"",),IF(OR(INDEX(IHZ_HAZ_DGCLASSIFI,46,1)="",INDEX(IHZ_HAZ_TEXTUALREF,46,1)="",INDEX(IHZ_HAZ_TOTAMOUNT,46,1)="",INDEX(IHZ_HAZ_DPGREF,46,1)="",INDEX(IHZ_HAZ_CONSIGNMENT,46,1)="",),FALSE,TRUE),TRUE)</f>
        <v>1</v>
      </c>
      <c r="H53" s="237" t="str">
        <f t="shared" si="1"/>
        <v>Row 46 - All mandatory fields must be given</v>
      </c>
      <c r="I53" s="236" t="s">
        <v>1853</v>
      </c>
      <c r="J53" s="52" t="b">
        <f>IF(OR(INDEX(OHZ_HAZ_CONSIGNMENT,46,1)&lt;&gt;"",INDEX(OHZ_HAZ_TRANSDOCID,46,1)&lt;&gt;"",INDEX(OHZ_HAZ_PORTOFLOADING,46,1)&lt;&gt;"",INDEX(OHZ_HAZ_PORTOFDISCHARGE,46,1)&lt;&gt;"",INDEX(OHZ_HAZ_DPGREF,46,1)&lt;&gt;"",INDEX(OHZ_HAZ_DGCLASSIFI,46,1)&lt;&gt;"",INDEX(OHZ_HAZ_TEXTUALREF,46,1)&lt;&gt;"",INDEX(OHZ_HAZ_IMOHAZARDC,46,1)&lt;&gt;"",INDEX(OHZ_HAZ_UNNUMBER,46,1)&lt;&gt;"",INDEX(OHZ_HAZ_TOTAMOUNT,46,1)&lt;&gt;"",INDEX(OHZ_HAZ_PACKINGGRO,46,1)&lt;&gt;"",INDEX(OHZ_HAZ_FLASHPOINT,46,1)&lt;&gt;"",INDEX(OHZ_HAZ_MARPOLCODE,46,1)&lt;&gt;"",INDEX(OHZ_HAZ_PACTYPE,46,1)&lt;&gt;"",INDEX(OHZ_HAZ_TOTALPACKA,46,1)&lt;&gt;"",INDEX(OHZ_HAZ_ADDITIONAL,46,1)&lt;&gt;"",INDEX(OHZ_HAZ_EMS,46,1)&lt;&gt;"",INDEX(OHZ_HAZ_SUBSIDIARY,46,1)&lt;&gt;"",INDEX(OHZ_HAZ_UNITTYPE,46,1)&lt;&gt;"",INDEX(OHZ_HAZ_TEUID,46,1)&lt;&gt;"",INDEX(OHZ_HAZ_LOCATION,46,1)&lt;&gt;"",INDEX(OHZ_HAZ_PACKAGES,46,1)&lt;&gt;"",INDEX(OHZ_HAZ_AMOUNT,46,1)&lt;&gt;"",),IF(OR(INDEX(OHZ_HAZ_DGCLASSIFI,46,1)="",INDEX(OHZ_HAZ_TEXTUALREF,46,1)="",INDEX(OHZ_HAZ_TOTAMOUNT,46,1)="",INDEX(OHZ_HAZ_DPGREF,46,1)="",INDEX(OHZ_HAZ_CONSIGNMENT,46,1)="",),FALSE,TRUE),TRUE)</f>
        <v>1</v>
      </c>
      <c r="K53" s="237" t="str">
        <f t="shared" si="2"/>
        <v>Row 46 - All mandatory fields must be given</v>
      </c>
      <c r="L53" s="236" t="s">
        <v>1853</v>
      </c>
      <c r="R53" s="52"/>
      <c r="S53" s="52"/>
      <c r="T53" s="52" t="s">
        <v>2138</v>
      </c>
      <c r="V53" s="52"/>
    </row>
    <row r="54" spans="1:22">
      <c r="A54" s="313" t="b">
        <f>OR(SEC_PAS_PASSENGERS="",COUNTIF(REF_YES_NO,SEC_PAS_PASSENGERS)=1)</f>
        <v>1</v>
      </c>
      <c r="B54" s="313" t="s">
        <v>2031</v>
      </c>
      <c r="F54" s="236" t="s">
        <v>1853</v>
      </c>
      <c r="G54" s="250" t="b">
        <f>IF(OR(INDEX(IHZ_HAZ_CONSIGNMENT,47,1)&lt;&gt;"",INDEX(IHZ_HAZ_TRANSDOCID,47,1)&lt;&gt;"",INDEX(IHZ_HAZ_PORTOFLOADING,47,1)&lt;&gt;"",INDEX(IHZ_HAZ_PORTOFDISCHARGE,47,1)&lt;&gt;"",INDEX(IHZ_HAZ_DPGREF,47,1)&lt;&gt;"",INDEX(IHZ_HAZ_DGCLASSIFI,47,1)&lt;&gt;"",INDEX(IHZ_HAZ_TEXTUALREF,47,1)&lt;&gt;"",INDEX(IHZ_HAZ_IMOHAZARDC,47,1)&lt;&gt;"",INDEX(IHZ_HAZ_UNNUMBER,47,1)&lt;&gt;"",INDEX(IHZ_HAZ_TOTAMOUNT,47,1)&lt;&gt;"",INDEX(IHZ_HAZ_PACKINGGRO,47,1)&lt;&gt;"",INDEX(IHZ_HAZ_FLASHPOINT,47,1)&lt;&gt;"",INDEX(IHZ_HAZ_MARPOLCODE,47,1)&lt;&gt;"",INDEX(IHZ_HAZ_PACTYPE,47,1)&lt;&gt;"",INDEX(IHZ_HAZ_TOTALPACKA,47,1)&lt;&gt;"",INDEX(IHZ_HAZ_ADDITIONAL,47,1)&lt;&gt;"",INDEX(IHZ_HAZ_EMS,47,1)&lt;&gt;"",INDEX(IHZ_HAZ_SUBSIDIARY,47,1)&lt;&gt;"",INDEX(IHZ_HAZ_UNITTYPE,47,1)&lt;&gt;"",INDEX(IHZ_HAZ_TEUID,47,1)&lt;&gt;"",INDEX(IHZ_HAZ_LOCATION,47,1)&lt;&gt;"",INDEX(IHZ_HAZ_PACKAGES,47,1)&lt;&gt;"",INDEX(IHZ_HAZ_AMOUNT,47,1)&lt;&gt;"",),IF(OR(INDEX(IHZ_HAZ_DGCLASSIFI,47,1)="",INDEX(IHZ_HAZ_TEXTUALREF,47,1)="",INDEX(IHZ_HAZ_TOTAMOUNT,47,1)="",INDEX(IHZ_HAZ_DPGREF,47,1)="",INDEX(IHZ_HAZ_CONSIGNMENT,47,1)="",),FALSE,TRUE),TRUE)</f>
        <v>1</v>
      </c>
      <c r="H54" s="237" t="str">
        <f t="shared" si="1"/>
        <v>Row 47 - All mandatory fields must be given</v>
      </c>
      <c r="I54" s="236" t="s">
        <v>1853</v>
      </c>
      <c r="J54" s="52" t="b">
        <f>IF(OR(INDEX(OHZ_HAZ_CONSIGNMENT,47,1)&lt;&gt;"",INDEX(OHZ_HAZ_TRANSDOCID,47,1)&lt;&gt;"",INDEX(OHZ_HAZ_PORTOFLOADING,47,1)&lt;&gt;"",INDEX(OHZ_HAZ_PORTOFDISCHARGE,47,1)&lt;&gt;"",INDEX(OHZ_HAZ_DPGREF,47,1)&lt;&gt;"",INDEX(OHZ_HAZ_DGCLASSIFI,47,1)&lt;&gt;"",INDEX(OHZ_HAZ_TEXTUALREF,47,1)&lt;&gt;"",INDEX(OHZ_HAZ_IMOHAZARDC,47,1)&lt;&gt;"",INDEX(OHZ_HAZ_UNNUMBER,47,1)&lt;&gt;"",INDEX(OHZ_HAZ_TOTAMOUNT,47,1)&lt;&gt;"",INDEX(OHZ_HAZ_PACKINGGRO,47,1)&lt;&gt;"",INDEX(OHZ_HAZ_FLASHPOINT,47,1)&lt;&gt;"",INDEX(OHZ_HAZ_MARPOLCODE,47,1)&lt;&gt;"",INDEX(OHZ_HAZ_PACTYPE,47,1)&lt;&gt;"",INDEX(OHZ_HAZ_TOTALPACKA,47,1)&lt;&gt;"",INDEX(OHZ_HAZ_ADDITIONAL,47,1)&lt;&gt;"",INDEX(OHZ_HAZ_EMS,47,1)&lt;&gt;"",INDEX(OHZ_HAZ_SUBSIDIARY,47,1)&lt;&gt;"",INDEX(OHZ_HAZ_UNITTYPE,47,1)&lt;&gt;"",INDEX(OHZ_HAZ_TEUID,47,1)&lt;&gt;"",INDEX(OHZ_HAZ_LOCATION,47,1)&lt;&gt;"",INDEX(OHZ_HAZ_PACKAGES,47,1)&lt;&gt;"",INDEX(OHZ_HAZ_AMOUNT,47,1)&lt;&gt;"",),IF(OR(INDEX(OHZ_HAZ_DGCLASSIFI,47,1)="",INDEX(OHZ_HAZ_TEXTUALREF,47,1)="",INDEX(OHZ_HAZ_TOTAMOUNT,47,1)="",INDEX(OHZ_HAZ_DPGREF,47,1)="",INDEX(OHZ_HAZ_CONSIGNMENT,47,1)="",),FALSE,TRUE),TRUE)</f>
        <v>1</v>
      </c>
      <c r="K54" s="237" t="str">
        <f t="shared" si="2"/>
        <v>Row 47 - All mandatory fields must be given</v>
      </c>
      <c r="L54" s="236" t="s">
        <v>1853</v>
      </c>
      <c r="R54" s="52"/>
      <c r="S54" s="52"/>
      <c r="T54" s="52" t="s">
        <v>2139</v>
      </c>
      <c r="V54" s="52"/>
    </row>
    <row r="55" spans="1:22">
      <c r="A55" s="313" t="b">
        <f>OR(SEC_PAS_CREWLIST="",COUNTIF(REF_YES_NO,SEC_PAS_CREWLIST)=1)</f>
        <v>1</v>
      </c>
      <c r="B55" s="313" t="s">
        <v>2032</v>
      </c>
      <c r="F55" s="236" t="s">
        <v>1853</v>
      </c>
      <c r="G55" s="250" t="b">
        <f>IF(OR(INDEX(IHZ_HAZ_CONSIGNMENT,48,1)&lt;&gt;"",INDEX(IHZ_HAZ_TRANSDOCID,48,1)&lt;&gt;"",INDEX(IHZ_HAZ_PORTOFLOADING,48,1)&lt;&gt;"",INDEX(IHZ_HAZ_PORTOFDISCHARGE,48,1)&lt;&gt;"",INDEX(IHZ_HAZ_DPGREF,48,1)&lt;&gt;"",INDEX(IHZ_HAZ_DGCLASSIFI,48,1)&lt;&gt;"",INDEX(IHZ_HAZ_TEXTUALREF,48,1)&lt;&gt;"",INDEX(IHZ_HAZ_IMOHAZARDC,48,1)&lt;&gt;"",INDEX(IHZ_HAZ_UNNUMBER,48,1)&lt;&gt;"",INDEX(IHZ_HAZ_TOTAMOUNT,48,1)&lt;&gt;"",INDEX(IHZ_HAZ_PACKINGGRO,48,1)&lt;&gt;"",INDEX(IHZ_HAZ_FLASHPOINT,48,1)&lt;&gt;"",INDEX(IHZ_HAZ_MARPOLCODE,48,1)&lt;&gt;"",INDEX(IHZ_HAZ_PACTYPE,48,1)&lt;&gt;"",INDEX(IHZ_HAZ_TOTALPACKA,48,1)&lt;&gt;"",INDEX(IHZ_HAZ_ADDITIONAL,48,1)&lt;&gt;"",INDEX(IHZ_HAZ_EMS,48,1)&lt;&gt;"",INDEX(IHZ_HAZ_SUBSIDIARY,48,1)&lt;&gt;"",INDEX(IHZ_HAZ_UNITTYPE,48,1)&lt;&gt;"",INDEX(IHZ_HAZ_TEUID,48,1)&lt;&gt;"",INDEX(IHZ_HAZ_LOCATION,48,1)&lt;&gt;"",INDEX(IHZ_HAZ_PACKAGES,48,1)&lt;&gt;"",INDEX(IHZ_HAZ_AMOUNT,48,1)&lt;&gt;"",),IF(OR(INDEX(IHZ_HAZ_DGCLASSIFI,48,1)="",INDEX(IHZ_HAZ_TEXTUALREF,48,1)="",INDEX(IHZ_HAZ_TOTAMOUNT,48,1)="",INDEX(IHZ_HAZ_DPGREF,48,1)="",INDEX(IHZ_HAZ_CONSIGNMENT,48,1)="",),FALSE,TRUE),TRUE)</f>
        <v>1</v>
      </c>
      <c r="H55" s="237" t="str">
        <f t="shared" si="1"/>
        <v>Row 48 - All mandatory fields must be given</v>
      </c>
      <c r="I55" s="236" t="s">
        <v>1853</v>
      </c>
      <c r="J55" s="52" t="b">
        <f>IF(OR(INDEX(OHZ_HAZ_CONSIGNMENT,48,1)&lt;&gt;"",INDEX(OHZ_HAZ_TRANSDOCID,48,1)&lt;&gt;"",INDEX(OHZ_HAZ_PORTOFLOADING,48,1)&lt;&gt;"",INDEX(OHZ_HAZ_PORTOFDISCHARGE,48,1)&lt;&gt;"",INDEX(OHZ_HAZ_DPGREF,48,1)&lt;&gt;"",INDEX(OHZ_HAZ_DGCLASSIFI,48,1)&lt;&gt;"",INDEX(OHZ_HAZ_TEXTUALREF,48,1)&lt;&gt;"",INDEX(OHZ_HAZ_IMOHAZARDC,48,1)&lt;&gt;"",INDEX(OHZ_HAZ_UNNUMBER,48,1)&lt;&gt;"",INDEX(OHZ_HAZ_TOTAMOUNT,48,1)&lt;&gt;"",INDEX(OHZ_HAZ_PACKINGGRO,48,1)&lt;&gt;"",INDEX(OHZ_HAZ_FLASHPOINT,48,1)&lt;&gt;"",INDEX(OHZ_HAZ_MARPOLCODE,48,1)&lt;&gt;"",INDEX(OHZ_HAZ_PACTYPE,48,1)&lt;&gt;"",INDEX(OHZ_HAZ_TOTALPACKA,48,1)&lt;&gt;"",INDEX(OHZ_HAZ_ADDITIONAL,48,1)&lt;&gt;"",INDEX(OHZ_HAZ_EMS,48,1)&lt;&gt;"",INDEX(OHZ_HAZ_SUBSIDIARY,48,1)&lt;&gt;"",INDEX(OHZ_HAZ_UNITTYPE,48,1)&lt;&gt;"",INDEX(OHZ_HAZ_TEUID,48,1)&lt;&gt;"",INDEX(OHZ_HAZ_LOCATION,48,1)&lt;&gt;"",INDEX(OHZ_HAZ_PACKAGES,48,1)&lt;&gt;"",INDEX(OHZ_HAZ_AMOUNT,48,1)&lt;&gt;"",),IF(OR(INDEX(OHZ_HAZ_DGCLASSIFI,48,1)="",INDEX(OHZ_HAZ_TEXTUALREF,48,1)="",INDEX(OHZ_HAZ_TOTAMOUNT,48,1)="",INDEX(OHZ_HAZ_DPGREF,48,1)="",INDEX(OHZ_HAZ_CONSIGNMENT,48,1)="",),FALSE,TRUE),TRUE)</f>
        <v>1</v>
      </c>
      <c r="K55" s="237" t="str">
        <f t="shared" si="2"/>
        <v>Row 48 - All mandatory fields must be given</v>
      </c>
      <c r="L55" s="236" t="s">
        <v>1853</v>
      </c>
      <c r="R55" s="52"/>
      <c r="S55" s="52"/>
      <c r="T55" s="52" t="s">
        <v>2140</v>
      </c>
      <c r="V55" s="52"/>
    </row>
    <row r="56" spans="1:22">
      <c r="A56" s="313" t="b">
        <f>LEN(SEC_CAR_BRIEFCARGO)&lt;256</f>
        <v>1</v>
      </c>
      <c r="B56" s="313" t="s">
        <v>2033</v>
      </c>
      <c r="F56" s="236" t="s">
        <v>1853</v>
      </c>
      <c r="G56" s="250" t="b">
        <f>IF(OR(INDEX(IHZ_HAZ_CONSIGNMENT,49,1)&lt;&gt;"",INDEX(IHZ_HAZ_TRANSDOCID,49,1)&lt;&gt;"",INDEX(IHZ_HAZ_PORTOFLOADING,49,1)&lt;&gt;"",INDEX(IHZ_HAZ_PORTOFDISCHARGE,49,1)&lt;&gt;"",INDEX(IHZ_HAZ_DPGREF,49,1)&lt;&gt;"",INDEX(IHZ_HAZ_DGCLASSIFI,49,1)&lt;&gt;"",INDEX(IHZ_HAZ_TEXTUALREF,49,1)&lt;&gt;"",INDEX(IHZ_HAZ_IMOHAZARDC,49,1)&lt;&gt;"",INDEX(IHZ_HAZ_UNNUMBER,49,1)&lt;&gt;"",INDEX(IHZ_HAZ_TOTAMOUNT,49,1)&lt;&gt;"",INDEX(IHZ_HAZ_PACKINGGRO,49,1)&lt;&gt;"",INDEX(IHZ_HAZ_FLASHPOINT,49,1)&lt;&gt;"",INDEX(IHZ_HAZ_MARPOLCODE,49,1)&lt;&gt;"",INDEX(IHZ_HAZ_PACTYPE,49,1)&lt;&gt;"",INDEX(IHZ_HAZ_TOTALPACKA,49,1)&lt;&gt;"",INDEX(IHZ_HAZ_ADDITIONAL,49,1)&lt;&gt;"",INDEX(IHZ_HAZ_EMS,49,1)&lt;&gt;"",INDEX(IHZ_HAZ_SUBSIDIARY,49,1)&lt;&gt;"",INDEX(IHZ_HAZ_UNITTYPE,49,1)&lt;&gt;"",INDEX(IHZ_HAZ_TEUID,49,1)&lt;&gt;"",INDEX(IHZ_HAZ_LOCATION,49,1)&lt;&gt;"",INDEX(IHZ_HAZ_PACKAGES,49,1)&lt;&gt;"",INDEX(IHZ_HAZ_AMOUNT,49,1)&lt;&gt;"",),IF(OR(INDEX(IHZ_HAZ_DGCLASSIFI,49,1)="",INDEX(IHZ_HAZ_TEXTUALREF,49,1)="",INDEX(IHZ_HAZ_TOTAMOUNT,49,1)="",INDEX(IHZ_HAZ_DPGREF,49,1)="",INDEX(IHZ_HAZ_CONSIGNMENT,49,1)="",),FALSE,TRUE),TRUE)</f>
        <v>1</v>
      </c>
      <c r="H56" s="237" t="str">
        <f t="shared" si="1"/>
        <v>Row 49 - All mandatory fields must be given</v>
      </c>
      <c r="I56" s="236" t="s">
        <v>1853</v>
      </c>
      <c r="J56" s="52" t="b">
        <f>IF(OR(INDEX(OHZ_HAZ_CONSIGNMENT,49,1)&lt;&gt;"",INDEX(OHZ_HAZ_TRANSDOCID,49,1)&lt;&gt;"",INDEX(OHZ_HAZ_PORTOFLOADING,49,1)&lt;&gt;"",INDEX(OHZ_HAZ_PORTOFDISCHARGE,49,1)&lt;&gt;"",INDEX(OHZ_HAZ_DPGREF,49,1)&lt;&gt;"",INDEX(OHZ_HAZ_DGCLASSIFI,49,1)&lt;&gt;"",INDEX(OHZ_HAZ_TEXTUALREF,49,1)&lt;&gt;"",INDEX(OHZ_HAZ_IMOHAZARDC,49,1)&lt;&gt;"",INDEX(OHZ_HAZ_UNNUMBER,49,1)&lt;&gt;"",INDEX(OHZ_HAZ_TOTAMOUNT,49,1)&lt;&gt;"",INDEX(OHZ_HAZ_PACKINGGRO,49,1)&lt;&gt;"",INDEX(OHZ_HAZ_FLASHPOINT,49,1)&lt;&gt;"",INDEX(OHZ_HAZ_MARPOLCODE,49,1)&lt;&gt;"",INDEX(OHZ_HAZ_PACTYPE,49,1)&lt;&gt;"",INDEX(OHZ_HAZ_TOTALPACKA,49,1)&lt;&gt;"",INDEX(OHZ_HAZ_ADDITIONAL,49,1)&lt;&gt;"",INDEX(OHZ_HAZ_EMS,49,1)&lt;&gt;"",INDEX(OHZ_HAZ_SUBSIDIARY,49,1)&lt;&gt;"",INDEX(OHZ_HAZ_UNITTYPE,49,1)&lt;&gt;"",INDEX(OHZ_HAZ_TEUID,49,1)&lt;&gt;"",INDEX(OHZ_HAZ_LOCATION,49,1)&lt;&gt;"",INDEX(OHZ_HAZ_PACKAGES,49,1)&lt;&gt;"",INDEX(OHZ_HAZ_AMOUNT,49,1)&lt;&gt;"",),IF(OR(INDEX(OHZ_HAZ_DGCLASSIFI,49,1)="",INDEX(OHZ_HAZ_TEXTUALREF,49,1)="",INDEX(OHZ_HAZ_TOTAMOUNT,49,1)="",INDEX(OHZ_HAZ_DPGREF,49,1)="",INDEX(OHZ_HAZ_CONSIGNMENT,49,1)="",),FALSE,TRUE),TRUE)</f>
        <v>1</v>
      </c>
      <c r="K56" s="237" t="str">
        <f t="shared" si="2"/>
        <v>Row 49 - All mandatory fields must be given</v>
      </c>
      <c r="L56" s="236" t="s">
        <v>1853</v>
      </c>
      <c r="R56" s="52"/>
      <c r="S56" s="52"/>
      <c r="T56" s="52" t="s">
        <v>2141</v>
      </c>
      <c r="V56" s="52"/>
    </row>
    <row r="57" spans="1:22">
      <c r="A57" s="313" t="b">
        <f>OR(SEC_RSM_RSM="",SEC_RSM_RSM="No",SEC_RSM_RSM="Yes")</f>
        <v>1</v>
      </c>
      <c r="B57" s="314" t="s">
        <v>2034</v>
      </c>
      <c r="F57" s="236" t="s">
        <v>1853</v>
      </c>
      <c r="G57" s="250" t="b">
        <f>IF(OR(INDEX(IHZ_HAZ_CONSIGNMENT,50,1)&lt;&gt;"",INDEX(IHZ_HAZ_TRANSDOCID,50,1)&lt;&gt;"",INDEX(IHZ_HAZ_PORTOFLOADING,50,1)&lt;&gt;"",INDEX(IHZ_HAZ_PORTOFDISCHARGE,50,1)&lt;&gt;"",INDEX(IHZ_HAZ_DPGREF,50,1)&lt;&gt;"",INDEX(IHZ_HAZ_DGCLASSIFI,50,1)&lt;&gt;"",INDEX(IHZ_HAZ_TEXTUALREF,50,1)&lt;&gt;"",INDEX(IHZ_HAZ_IMOHAZARDC,50,1)&lt;&gt;"",INDEX(IHZ_HAZ_UNNUMBER,50,1)&lt;&gt;"",INDEX(IHZ_HAZ_TOTAMOUNT,50,1)&lt;&gt;"",INDEX(IHZ_HAZ_PACKINGGRO,50,1)&lt;&gt;"",INDEX(IHZ_HAZ_FLASHPOINT,50,1)&lt;&gt;"",INDEX(IHZ_HAZ_MARPOLCODE,50,1)&lt;&gt;"",INDEX(IHZ_HAZ_PACTYPE,50,1)&lt;&gt;"",INDEX(IHZ_HAZ_TOTALPACKA,50,1)&lt;&gt;"",INDEX(IHZ_HAZ_ADDITIONAL,50,1)&lt;&gt;"",INDEX(IHZ_HAZ_EMS,50,1)&lt;&gt;"",INDEX(IHZ_HAZ_SUBSIDIARY,50,1)&lt;&gt;"",INDEX(IHZ_HAZ_UNITTYPE,50,1)&lt;&gt;"",INDEX(IHZ_HAZ_TEUID,50,1)&lt;&gt;"",INDEX(IHZ_HAZ_LOCATION,50,1)&lt;&gt;"",INDEX(IHZ_HAZ_PACKAGES,50,1)&lt;&gt;"",INDEX(IHZ_HAZ_AMOUNT,50,1)&lt;&gt;"",),IF(OR(INDEX(IHZ_HAZ_DGCLASSIFI,50,1)="",INDEX(IHZ_HAZ_TEXTUALREF,50,1)="",INDEX(IHZ_HAZ_TOTAMOUNT,50,1)="",INDEX(IHZ_HAZ_DPGREF,50,1)="",INDEX(IHZ_HAZ_CONSIGNMENT,50,1)="",),FALSE,TRUE),TRUE)</f>
        <v>1</v>
      </c>
      <c r="H57" s="237" t="str">
        <f t="shared" si="1"/>
        <v>Row 50 - All mandatory fields must be given</v>
      </c>
      <c r="I57" s="236" t="s">
        <v>1853</v>
      </c>
      <c r="J57" s="52" t="b">
        <f>IF(OR(INDEX(OHZ_HAZ_CONSIGNMENT,50,1)&lt;&gt;"",INDEX(OHZ_HAZ_TRANSDOCID,50,1)&lt;&gt;"",INDEX(OHZ_HAZ_PORTOFLOADING,50,1)&lt;&gt;"",INDEX(OHZ_HAZ_PORTOFDISCHARGE,50,1)&lt;&gt;"",INDEX(OHZ_HAZ_DPGREF,50,1)&lt;&gt;"",INDEX(OHZ_HAZ_DGCLASSIFI,50,1)&lt;&gt;"",INDEX(OHZ_HAZ_TEXTUALREF,50,1)&lt;&gt;"",INDEX(OHZ_HAZ_IMOHAZARDC,50,1)&lt;&gt;"",INDEX(OHZ_HAZ_UNNUMBER,50,1)&lt;&gt;"",INDEX(OHZ_HAZ_TOTAMOUNT,50,1)&lt;&gt;"",INDEX(OHZ_HAZ_PACKINGGRO,50,1)&lt;&gt;"",INDEX(OHZ_HAZ_FLASHPOINT,50,1)&lt;&gt;"",INDEX(OHZ_HAZ_MARPOLCODE,50,1)&lt;&gt;"",INDEX(OHZ_HAZ_PACTYPE,50,1)&lt;&gt;"",INDEX(OHZ_HAZ_TOTALPACKA,50,1)&lt;&gt;"",INDEX(OHZ_HAZ_ADDITIONAL,50,1)&lt;&gt;"",INDEX(OHZ_HAZ_EMS,50,1)&lt;&gt;"",INDEX(OHZ_HAZ_SUBSIDIARY,50,1)&lt;&gt;"",INDEX(OHZ_HAZ_UNITTYPE,50,1)&lt;&gt;"",INDEX(OHZ_HAZ_TEUID,50,1)&lt;&gt;"",INDEX(OHZ_HAZ_LOCATION,50,1)&lt;&gt;"",INDEX(OHZ_HAZ_PACKAGES,50,1)&lt;&gt;"",INDEX(OHZ_HAZ_AMOUNT,50,1)&lt;&gt;"",),IF(OR(INDEX(OHZ_HAZ_DGCLASSIFI,50,1)="",INDEX(OHZ_HAZ_TEXTUALREF,50,1)="",INDEX(OHZ_HAZ_TOTAMOUNT,50,1)="",INDEX(OHZ_HAZ_DPGREF,50,1)="",INDEX(OHZ_HAZ_CONSIGNMENT,50,1)="",),FALSE,TRUE),TRUE)</f>
        <v>1</v>
      </c>
      <c r="K57" s="237" t="str">
        <f t="shared" si="2"/>
        <v>Row 50 - All mandatory fields must be given</v>
      </c>
      <c r="L57" s="236" t="s">
        <v>1853</v>
      </c>
      <c r="R57" s="52"/>
      <c r="S57" s="52"/>
      <c r="T57" s="52" t="s">
        <v>2142</v>
      </c>
      <c r="V57" s="52"/>
    </row>
    <row r="58" spans="1:22">
      <c r="A58" s="313" t="b">
        <f>LEN(SEC_RSM_DESC)&lt;256</f>
        <v>1</v>
      </c>
      <c r="B58" s="313" t="s">
        <v>2035</v>
      </c>
      <c r="F58" s="236" t="s">
        <v>1853</v>
      </c>
      <c r="G58" s="250" t="b">
        <f>IF(OR(INDEX(IHZ_HAZ_CONSIGNMENT,51,1)&lt;&gt;"",INDEX(IHZ_HAZ_TRANSDOCID,51,1)&lt;&gt;"",INDEX(IHZ_HAZ_PORTOFLOADING,51,1)&lt;&gt;"",INDEX(IHZ_HAZ_PORTOFDISCHARGE,51,1)&lt;&gt;"",INDEX(IHZ_HAZ_DPGREF,51,1)&lt;&gt;"",INDEX(IHZ_HAZ_DGCLASSIFI,51,1)&lt;&gt;"",INDEX(IHZ_HAZ_TEXTUALREF,51,1)&lt;&gt;"",INDEX(IHZ_HAZ_IMOHAZARDC,51,1)&lt;&gt;"",INDEX(IHZ_HAZ_UNNUMBER,51,1)&lt;&gt;"",INDEX(IHZ_HAZ_TOTAMOUNT,51,1)&lt;&gt;"",INDEX(IHZ_HAZ_PACKINGGRO,51,1)&lt;&gt;"",INDEX(IHZ_HAZ_FLASHPOINT,51,1)&lt;&gt;"",INDEX(IHZ_HAZ_MARPOLCODE,51,1)&lt;&gt;"",INDEX(IHZ_HAZ_PACTYPE,51,1)&lt;&gt;"",INDEX(IHZ_HAZ_TOTALPACKA,51,1)&lt;&gt;"",INDEX(IHZ_HAZ_ADDITIONAL,51,1)&lt;&gt;"",INDEX(IHZ_HAZ_EMS,51,1)&lt;&gt;"",INDEX(IHZ_HAZ_SUBSIDIARY,51,1)&lt;&gt;"",INDEX(IHZ_HAZ_UNITTYPE,51,1)&lt;&gt;"",INDEX(IHZ_HAZ_TEUID,51,1)&lt;&gt;"",INDEX(IHZ_HAZ_LOCATION,51,1)&lt;&gt;"",INDEX(IHZ_HAZ_PACKAGES,51,1)&lt;&gt;"",INDEX(IHZ_HAZ_AMOUNT,51,1)&lt;&gt;"",),IF(OR(INDEX(IHZ_HAZ_DGCLASSIFI,51,1)="",INDEX(IHZ_HAZ_TEXTUALREF,51,1)="",INDEX(IHZ_HAZ_TOTAMOUNT,51,1)="",INDEX(IHZ_HAZ_DPGREF,51,1)="",INDEX(IHZ_HAZ_CONSIGNMENT,51,1)="",),FALSE,TRUE),TRUE)</f>
        <v>1</v>
      </c>
      <c r="H58" s="237" t="str">
        <f t="shared" si="1"/>
        <v>Row 51 - All mandatory fields must be given</v>
      </c>
      <c r="I58" s="236" t="s">
        <v>1853</v>
      </c>
      <c r="J58" s="52" t="b">
        <f>IF(OR(INDEX(OHZ_HAZ_CONSIGNMENT,51,1)&lt;&gt;"",INDEX(OHZ_HAZ_TRANSDOCID,51,1)&lt;&gt;"",INDEX(OHZ_HAZ_PORTOFLOADING,51,1)&lt;&gt;"",INDEX(OHZ_HAZ_PORTOFDISCHARGE,51,1)&lt;&gt;"",INDEX(OHZ_HAZ_DPGREF,51,1)&lt;&gt;"",INDEX(OHZ_HAZ_DGCLASSIFI,51,1)&lt;&gt;"",INDEX(OHZ_HAZ_TEXTUALREF,51,1)&lt;&gt;"",INDEX(OHZ_HAZ_IMOHAZARDC,51,1)&lt;&gt;"",INDEX(OHZ_HAZ_UNNUMBER,51,1)&lt;&gt;"",INDEX(OHZ_HAZ_TOTAMOUNT,51,1)&lt;&gt;"",INDEX(OHZ_HAZ_PACKINGGRO,51,1)&lt;&gt;"",INDEX(OHZ_HAZ_FLASHPOINT,51,1)&lt;&gt;"",INDEX(OHZ_HAZ_MARPOLCODE,51,1)&lt;&gt;"",INDEX(OHZ_HAZ_PACTYPE,51,1)&lt;&gt;"",INDEX(OHZ_HAZ_TOTALPACKA,51,1)&lt;&gt;"",INDEX(OHZ_HAZ_ADDITIONAL,51,1)&lt;&gt;"",INDEX(OHZ_HAZ_EMS,51,1)&lt;&gt;"",INDEX(OHZ_HAZ_SUBSIDIARY,51,1)&lt;&gt;"",INDEX(OHZ_HAZ_UNITTYPE,51,1)&lt;&gt;"",INDEX(OHZ_HAZ_TEUID,51,1)&lt;&gt;"",INDEX(OHZ_HAZ_LOCATION,51,1)&lt;&gt;"",INDEX(OHZ_HAZ_PACKAGES,51,1)&lt;&gt;"",INDEX(OHZ_HAZ_AMOUNT,51,1)&lt;&gt;"",),IF(OR(INDEX(OHZ_HAZ_DGCLASSIFI,51,1)="",INDEX(OHZ_HAZ_TEXTUALREF,51,1)="",INDEX(OHZ_HAZ_TOTAMOUNT,51,1)="",INDEX(OHZ_HAZ_DPGREF,51,1)="",INDEX(OHZ_HAZ_CONSIGNMENT,51,1)="",),FALSE,TRUE),TRUE)</f>
        <v>1</v>
      </c>
      <c r="K58" s="237" t="str">
        <f t="shared" si="2"/>
        <v>Row 51 - All mandatory fields must be given</v>
      </c>
      <c r="L58" s="236" t="s">
        <v>1853</v>
      </c>
      <c r="R58" s="52"/>
      <c r="S58" s="52"/>
      <c r="T58" s="52" t="s">
        <v>2143</v>
      </c>
      <c r="V58" s="52"/>
    </row>
    <row r="59" spans="1:22">
      <c r="A59" s="313" t="b">
        <f>LEN(SEC_PURPOSE)&lt;256</f>
        <v>1</v>
      </c>
      <c r="B59" s="313" t="s">
        <v>2036</v>
      </c>
      <c r="F59" s="236" t="s">
        <v>1853</v>
      </c>
      <c r="G59" s="250" t="b">
        <f>IF(OR(INDEX(IHZ_HAZ_CONSIGNMENT,52,1)&lt;&gt;"",INDEX(IHZ_HAZ_TRANSDOCID,52,1)&lt;&gt;"",INDEX(IHZ_HAZ_PORTOFLOADING,52,1)&lt;&gt;"",INDEX(IHZ_HAZ_PORTOFDISCHARGE,52,1)&lt;&gt;"",INDEX(IHZ_HAZ_DPGREF,52,1)&lt;&gt;"",INDEX(IHZ_HAZ_DGCLASSIFI,52,1)&lt;&gt;"",INDEX(IHZ_HAZ_TEXTUALREF,52,1)&lt;&gt;"",INDEX(IHZ_HAZ_IMOHAZARDC,52,1)&lt;&gt;"",INDEX(IHZ_HAZ_UNNUMBER,52,1)&lt;&gt;"",INDEX(IHZ_HAZ_TOTAMOUNT,52,1)&lt;&gt;"",INDEX(IHZ_HAZ_PACKINGGRO,52,1)&lt;&gt;"",INDEX(IHZ_HAZ_FLASHPOINT,52,1)&lt;&gt;"",INDEX(IHZ_HAZ_MARPOLCODE,52,1)&lt;&gt;"",INDEX(IHZ_HAZ_PACTYPE,52,1)&lt;&gt;"",INDEX(IHZ_HAZ_TOTALPACKA,52,1)&lt;&gt;"",INDEX(IHZ_HAZ_ADDITIONAL,52,1)&lt;&gt;"",INDEX(IHZ_HAZ_EMS,52,1)&lt;&gt;"",INDEX(IHZ_HAZ_SUBSIDIARY,52,1)&lt;&gt;"",INDEX(IHZ_HAZ_UNITTYPE,52,1)&lt;&gt;"",INDEX(IHZ_HAZ_TEUID,52,1)&lt;&gt;"",INDEX(IHZ_HAZ_LOCATION,52,1)&lt;&gt;"",INDEX(IHZ_HAZ_PACKAGES,52,1)&lt;&gt;"",INDEX(IHZ_HAZ_AMOUNT,52,1)&lt;&gt;"",),IF(OR(INDEX(IHZ_HAZ_DGCLASSIFI,52,1)="",INDEX(IHZ_HAZ_TEXTUALREF,52,1)="",INDEX(IHZ_HAZ_TOTAMOUNT,52,1)="",INDEX(IHZ_HAZ_DPGREF,52,1)="",INDEX(IHZ_HAZ_CONSIGNMENT,52,1)="",),FALSE,TRUE),TRUE)</f>
        <v>1</v>
      </c>
      <c r="H59" s="237" t="str">
        <f t="shared" si="1"/>
        <v>Row 52 - All mandatory fields must be given</v>
      </c>
      <c r="I59" s="236" t="s">
        <v>1853</v>
      </c>
      <c r="J59" s="52" t="b">
        <f>IF(OR(INDEX(OHZ_HAZ_CONSIGNMENT,52,1)&lt;&gt;"",INDEX(OHZ_HAZ_TRANSDOCID,52,1)&lt;&gt;"",INDEX(OHZ_HAZ_PORTOFLOADING,52,1)&lt;&gt;"",INDEX(OHZ_HAZ_PORTOFDISCHARGE,52,1)&lt;&gt;"",INDEX(OHZ_HAZ_DPGREF,52,1)&lt;&gt;"",INDEX(OHZ_HAZ_DGCLASSIFI,52,1)&lt;&gt;"",INDEX(OHZ_HAZ_TEXTUALREF,52,1)&lt;&gt;"",INDEX(OHZ_HAZ_IMOHAZARDC,52,1)&lt;&gt;"",INDEX(OHZ_HAZ_UNNUMBER,52,1)&lt;&gt;"",INDEX(OHZ_HAZ_TOTAMOUNT,52,1)&lt;&gt;"",INDEX(OHZ_HAZ_PACKINGGRO,52,1)&lt;&gt;"",INDEX(OHZ_HAZ_FLASHPOINT,52,1)&lt;&gt;"",INDEX(OHZ_HAZ_MARPOLCODE,52,1)&lt;&gt;"",INDEX(OHZ_HAZ_PACTYPE,52,1)&lt;&gt;"",INDEX(OHZ_HAZ_TOTALPACKA,52,1)&lt;&gt;"",INDEX(OHZ_HAZ_ADDITIONAL,52,1)&lt;&gt;"",INDEX(OHZ_HAZ_EMS,52,1)&lt;&gt;"",INDEX(OHZ_HAZ_SUBSIDIARY,52,1)&lt;&gt;"",INDEX(OHZ_HAZ_UNITTYPE,52,1)&lt;&gt;"",INDEX(OHZ_HAZ_TEUID,52,1)&lt;&gt;"",INDEX(OHZ_HAZ_LOCATION,52,1)&lt;&gt;"",INDEX(OHZ_HAZ_PACKAGES,52,1)&lt;&gt;"",INDEX(OHZ_HAZ_AMOUNT,52,1)&lt;&gt;"",),IF(OR(INDEX(OHZ_HAZ_DGCLASSIFI,52,1)="",INDEX(OHZ_HAZ_TEXTUALREF,52,1)="",INDEX(OHZ_HAZ_TOTAMOUNT,52,1)="",INDEX(OHZ_HAZ_DPGREF,52,1)="",INDEX(OHZ_HAZ_CONSIGNMENT,52,1)="",),FALSE,TRUE),TRUE)</f>
        <v>1</v>
      </c>
      <c r="K59" s="237" t="str">
        <f t="shared" si="2"/>
        <v>Row 52 - All mandatory fields must be given</v>
      </c>
      <c r="L59" s="236" t="s">
        <v>1853</v>
      </c>
      <c r="R59" s="52"/>
      <c r="S59" s="52"/>
      <c r="T59" s="52" t="s">
        <v>2144</v>
      </c>
      <c r="V59" s="52"/>
    </row>
    <row r="60" spans="1:22">
      <c r="A60" s="313"/>
      <c r="B60" s="341"/>
      <c r="F60" s="236" t="s">
        <v>1853</v>
      </c>
      <c r="G60" s="250" t="b">
        <f>IF(OR(INDEX(IHZ_HAZ_CONSIGNMENT,53,1)&lt;&gt;"",INDEX(IHZ_HAZ_TRANSDOCID,53,1)&lt;&gt;"",INDEX(IHZ_HAZ_PORTOFLOADING,53,1)&lt;&gt;"",INDEX(IHZ_HAZ_PORTOFDISCHARGE,53,1)&lt;&gt;"",INDEX(IHZ_HAZ_DPGREF,53,1)&lt;&gt;"",INDEX(IHZ_HAZ_DGCLASSIFI,53,1)&lt;&gt;"",INDEX(IHZ_HAZ_TEXTUALREF,53,1)&lt;&gt;"",INDEX(IHZ_HAZ_IMOHAZARDC,53,1)&lt;&gt;"",INDEX(IHZ_HAZ_UNNUMBER,53,1)&lt;&gt;"",INDEX(IHZ_HAZ_TOTAMOUNT,53,1)&lt;&gt;"",INDEX(IHZ_HAZ_PACKINGGRO,53,1)&lt;&gt;"",INDEX(IHZ_HAZ_FLASHPOINT,53,1)&lt;&gt;"",INDEX(IHZ_HAZ_MARPOLCODE,53,1)&lt;&gt;"",INDEX(IHZ_HAZ_PACTYPE,53,1)&lt;&gt;"",INDEX(IHZ_HAZ_TOTALPACKA,53,1)&lt;&gt;"",INDEX(IHZ_HAZ_ADDITIONAL,53,1)&lt;&gt;"",INDEX(IHZ_HAZ_EMS,53,1)&lt;&gt;"",INDEX(IHZ_HAZ_SUBSIDIARY,53,1)&lt;&gt;"",INDEX(IHZ_HAZ_UNITTYPE,53,1)&lt;&gt;"",INDEX(IHZ_HAZ_TEUID,53,1)&lt;&gt;"",INDEX(IHZ_HAZ_LOCATION,53,1)&lt;&gt;"",INDEX(IHZ_HAZ_PACKAGES,53,1)&lt;&gt;"",INDEX(IHZ_HAZ_AMOUNT,53,1)&lt;&gt;"",),IF(OR(INDEX(IHZ_HAZ_DGCLASSIFI,53,1)="",INDEX(IHZ_HAZ_TEXTUALREF,53,1)="",INDEX(IHZ_HAZ_TOTAMOUNT,53,1)="",INDEX(IHZ_HAZ_DPGREF,53,1)="",INDEX(IHZ_HAZ_CONSIGNMENT,53,1)="",),FALSE,TRUE),TRUE)</f>
        <v>1</v>
      </c>
      <c r="H60" s="237" t="str">
        <f t="shared" si="1"/>
        <v>Row 53 - All mandatory fields must be given</v>
      </c>
      <c r="I60" s="236" t="s">
        <v>1853</v>
      </c>
      <c r="J60" s="52" t="b">
        <f>IF(OR(INDEX(OHZ_HAZ_CONSIGNMENT,53,1)&lt;&gt;"",INDEX(OHZ_HAZ_TRANSDOCID,53,1)&lt;&gt;"",INDEX(OHZ_HAZ_PORTOFLOADING,53,1)&lt;&gt;"",INDEX(OHZ_HAZ_PORTOFDISCHARGE,53,1)&lt;&gt;"",INDEX(OHZ_HAZ_DPGREF,53,1)&lt;&gt;"",INDEX(OHZ_HAZ_DGCLASSIFI,53,1)&lt;&gt;"",INDEX(OHZ_HAZ_TEXTUALREF,53,1)&lt;&gt;"",INDEX(OHZ_HAZ_IMOHAZARDC,53,1)&lt;&gt;"",INDEX(OHZ_HAZ_UNNUMBER,53,1)&lt;&gt;"",INDEX(OHZ_HAZ_TOTAMOUNT,53,1)&lt;&gt;"",INDEX(OHZ_HAZ_PACKINGGRO,53,1)&lt;&gt;"",INDEX(OHZ_HAZ_FLASHPOINT,53,1)&lt;&gt;"",INDEX(OHZ_HAZ_MARPOLCODE,53,1)&lt;&gt;"",INDEX(OHZ_HAZ_PACTYPE,53,1)&lt;&gt;"",INDEX(OHZ_HAZ_TOTALPACKA,53,1)&lt;&gt;"",INDEX(OHZ_HAZ_ADDITIONAL,53,1)&lt;&gt;"",INDEX(OHZ_HAZ_EMS,53,1)&lt;&gt;"",INDEX(OHZ_HAZ_SUBSIDIARY,53,1)&lt;&gt;"",INDEX(OHZ_HAZ_UNITTYPE,53,1)&lt;&gt;"",INDEX(OHZ_HAZ_TEUID,53,1)&lt;&gt;"",INDEX(OHZ_HAZ_LOCATION,53,1)&lt;&gt;"",INDEX(OHZ_HAZ_PACKAGES,53,1)&lt;&gt;"",INDEX(OHZ_HAZ_AMOUNT,53,1)&lt;&gt;"",),IF(OR(INDEX(OHZ_HAZ_DGCLASSIFI,53,1)="",INDEX(OHZ_HAZ_TEXTUALREF,53,1)="",INDEX(OHZ_HAZ_TOTAMOUNT,53,1)="",INDEX(OHZ_HAZ_DPGREF,53,1)="",INDEX(OHZ_HAZ_CONSIGNMENT,53,1)="",),FALSE,TRUE),TRUE)</f>
        <v>1</v>
      </c>
      <c r="K60" s="237" t="str">
        <f t="shared" si="2"/>
        <v>Row 53 - All mandatory fields must be given</v>
      </c>
      <c r="L60" s="236" t="s">
        <v>1853</v>
      </c>
      <c r="R60" s="52"/>
      <c r="S60" s="52"/>
      <c r="T60" s="52" t="s">
        <v>2145</v>
      </c>
      <c r="V60" s="52"/>
    </row>
    <row r="61" spans="1:22">
      <c r="A61" s="313"/>
      <c r="B61" s="341"/>
      <c r="F61" s="236" t="s">
        <v>1853</v>
      </c>
      <c r="G61" s="250" t="b">
        <f>IF(OR(INDEX(IHZ_HAZ_CONSIGNMENT,54,1)&lt;&gt;"",INDEX(IHZ_HAZ_TRANSDOCID,54,1)&lt;&gt;"",INDEX(IHZ_HAZ_PORTOFLOADING,54,1)&lt;&gt;"",INDEX(IHZ_HAZ_PORTOFDISCHARGE,54,1)&lt;&gt;"",INDEX(IHZ_HAZ_DPGREF,54,1)&lt;&gt;"",INDEX(IHZ_HAZ_DGCLASSIFI,54,1)&lt;&gt;"",INDEX(IHZ_HAZ_TEXTUALREF,54,1)&lt;&gt;"",INDEX(IHZ_HAZ_IMOHAZARDC,54,1)&lt;&gt;"",INDEX(IHZ_HAZ_UNNUMBER,54,1)&lt;&gt;"",INDEX(IHZ_HAZ_TOTAMOUNT,54,1)&lt;&gt;"",INDEX(IHZ_HAZ_PACKINGGRO,54,1)&lt;&gt;"",INDEX(IHZ_HAZ_FLASHPOINT,54,1)&lt;&gt;"",INDEX(IHZ_HAZ_MARPOLCODE,54,1)&lt;&gt;"",INDEX(IHZ_HAZ_PACTYPE,54,1)&lt;&gt;"",INDEX(IHZ_HAZ_TOTALPACKA,54,1)&lt;&gt;"",INDEX(IHZ_HAZ_ADDITIONAL,54,1)&lt;&gt;"",INDEX(IHZ_HAZ_EMS,54,1)&lt;&gt;"",INDEX(IHZ_HAZ_SUBSIDIARY,54,1)&lt;&gt;"",INDEX(IHZ_HAZ_UNITTYPE,54,1)&lt;&gt;"",INDEX(IHZ_HAZ_TEUID,54,1)&lt;&gt;"",INDEX(IHZ_HAZ_LOCATION,54,1)&lt;&gt;"",INDEX(IHZ_HAZ_PACKAGES,54,1)&lt;&gt;"",INDEX(IHZ_HAZ_AMOUNT,54,1)&lt;&gt;"",),IF(OR(INDEX(IHZ_HAZ_DGCLASSIFI,54,1)="",INDEX(IHZ_HAZ_TEXTUALREF,54,1)="",INDEX(IHZ_HAZ_TOTAMOUNT,54,1)="",INDEX(IHZ_HAZ_DPGREF,54,1)="",INDEX(IHZ_HAZ_CONSIGNMENT,54,1)="",),FALSE,TRUE),TRUE)</f>
        <v>1</v>
      </c>
      <c r="H61" s="237" t="str">
        <f t="shared" si="1"/>
        <v>Row 54 - All mandatory fields must be given</v>
      </c>
      <c r="I61" s="236" t="s">
        <v>1853</v>
      </c>
      <c r="J61" s="52" t="b">
        <f>IF(OR(INDEX(OHZ_HAZ_CONSIGNMENT,54,1)&lt;&gt;"",INDEX(OHZ_HAZ_TRANSDOCID,54,1)&lt;&gt;"",INDEX(OHZ_HAZ_PORTOFLOADING,54,1)&lt;&gt;"",INDEX(OHZ_HAZ_PORTOFDISCHARGE,54,1)&lt;&gt;"",INDEX(OHZ_HAZ_DPGREF,54,1)&lt;&gt;"",INDEX(OHZ_HAZ_DGCLASSIFI,54,1)&lt;&gt;"",INDEX(OHZ_HAZ_TEXTUALREF,54,1)&lt;&gt;"",INDEX(OHZ_HAZ_IMOHAZARDC,54,1)&lt;&gt;"",INDEX(OHZ_HAZ_UNNUMBER,54,1)&lt;&gt;"",INDEX(OHZ_HAZ_TOTAMOUNT,54,1)&lt;&gt;"",INDEX(OHZ_HAZ_PACKINGGRO,54,1)&lt;&gt;"",INDEX(OHZ_HAZ_FLASHPOINT,54,1)&lt;&gt;"",INDEX(OHZ_HAZ_MARPOLCODE,54,1)&lt;&gt;"",INDEX(OHZ_HAZ_PACTYPE,54,1)&lt;&gt;"",INDEX(OHZ_HAZ_TOTALPACKA,54,1)&lt;&gt;"",INDEX(OHZ_HAZ_ADDITIONAL,54,1)&lt;&gt;"",INDEX(OHZ_HAZ_EMS,54,1)&lt;&gt;"",INDEX(OHZ_HAZ_SUBSIDIARY,54,1)&lt;&gt;"",INDEX(OHZ_HAZ_UNITTYPE,54,1)&lt;&gt;"",INDEX(OHZ_HAZ_TEUID,54,1)&lt;&gt;"",INDEX(OHZ_HAZ_LOCATION,54,1)&lt;&gt;"",INDEX(OHZ_HAZ_PACKAGES,54,1)&lt;&gt;"",INDEX(OHZ_HAZ_AMOUNT,54,1)&lt;&gt;"",),IF(OR(INDEX(OHZ_HAZ_DGCLASSIFI,54,1)="",INDEX(OHZ_HAZ_TEXTUALREF,54,1)="",INDEX(OHZ_HAZ_TOTAMOUNT,54,1)="",INDEX(OHZ_HAZ_DPGREF,54,1)="",INDEX(OHZ_HAZ_CONSIGNMENT,54,1)="",),FALSE,TRUE),TRUE)</f>
        <v>1</v>
      </c>
      <c r="K61" s="237" t="str">
        <f t="shared" si="2"/>
        <v>Row 54 - All mandatory fields must be given</v>
      </c>
      <c r="L61" s="236" t="s">
        <v>1853</v>
      </c>
      <c r="R61" s="52"/>
      <c r="S61" s="52"/>
      <c r="T61" s="52" t="s">
        <v>2146</v>
      </c>
      <c r="V61" s="52"/>
    </row>
    <row r="62" spans="1:22">
      <c r="A62" s="313" t="b">
        <f>SUMPRODUCT(--(LEN(SEC_LAST_COUNTRY)&gt;51))=0</f>
        <v>1</v>
      </c>
      <c r="B62" s="341" t="s">
        <v>2063</v>
      </c>
      <c r="F62" s="236" t="s">
        <v>1853</v>
      </c>
      <c r="G62" s="250" t="b">
        <f>IF(OR(INDEX(IHZ_HAZ_CONSIGNMENT,55,1)&lt;&gt;"",INDEX(IHZ_HAZ_TRANSDOCID,55,1)&lt;&gt;"",INDEX(IHZ_HAZ_PORTOFLOADING,55,1)&lt;&gt;"",INDEX(IHZ_HAZ_PORTOFDISCHARGE,55,1)&lt;&gt;"",INDEX(IHZ_HAZ_DPGREF,55,1)&lt;&gt;"",INDEX(IHZ_HAZ_DGCLASSIFI,55,1)&lt;&gt;"",INDEX(IHZ_HAZ_TEXTUALREF,55,1)&lt;&gt;"",INDEX(IHZ_HAZ_IMOHAZARDC,55,1)&lt;&gt;"",INDEX(IHZ_HAZ_UNNUMBER,55,1)&lt;&gt;"",INDEX(IHZ_HAZ_TOTAMOUNT,55,1)&lt;&gt;"",INDEX(IHZ_HAZ_PACKINGGRO,55,1)&lt;&gt;"",INDEX(IHZ_HAZ_FLASHPOINT,55,1)&lt;&gt;"",INDEX(IHZ_HAZ_MARPOLCODE,55,1)&lt;&gt;"",INDEX(IHZ_HAZ_PACTYPE,55,1)&lt;&gt;"",INDEX(IHZ_HAZ_TOTALPACKA,55,1)&lt;&gt;"",INDEX(IHZ_HAZ_ADDITIONAL,55,1)&lt;&gt;"",INDEX(IHZ_HAZ_EMS,55,1)&lt;&gt;"",INDEX(IHZ_HAZ_SUBSIDIARY,55,1)&lt;&gt;"",INDEX(IHZ_HAZ_UNITTYPE,55,1)&lt;&gt;"",INDEX(IHZ_HAZ_TEUID,55,1)&lt;&gt;"",INDEX(IHZ_HAZ_LOCATION,55,1)&lt;&gt;"",INDEX(IHZ_HAZ_PACKAGES,55,1)&lt;&gt;"",INDEX(IHZ_HAZ_AMOUNT,55,1)&lt;&gt;"",),IF(OR(INDEX(IHZ_HAZ_DGCLASSIFI,55,1)="",INDEX(IHZ_HAZ_TEXTUALREF,55,1)="",INDEX(IHZ_HAZ_TOTAMOUNT,55,1)="",INDEX(IHZ_HAZ_DPGREF,55,1)="",INDEX(IHZ_HAZ_CONSIGNMENT,55,1)="",),FALSE,TRUE),TRUE)</f>
        <v>1</v>
      </c>
      <c r="H62" s="237" t="str">
        <f t="shared" si="1"/>
        <v>Row 55 - All mandatory fields must be given</v>
      </c>
      <c r="I62" s="236" t="s">
        <v>1853</v>
      </c>
      <c r="J62" s="52" t="b">
        <f>IF(OR(INDEX(OHZ_HAZ_CONSIGNMENT,55,1)&lt;&gt;"",INDEX(OHZ_HAZ_TRANSDOCID,55,1)&lt;&gt;"",INDEX(OHZ_HAZ_PORTOFLOADING,55,1)&lt;&gt;"",INDEX(OHZ_HAZ_PORTOFDISCHARGE,55,1)&lt;&gt;"",INDEX(OHZ_HAZ_DPGREF,55,1)&lt;&gt;"",INDEX(OHZ_HAZ_DGCLASSIFI,55,1)&lt;&gt;"",INDEX(OHZ_HAZ_TEXTUALREF,55,1)&lt;&gt;"",INDEX(OHZ_HAZ_IMOHAZARDC,55,1)&lt;&gt;"",INDEX(OHZ_HAZ_UNNUMBER,55,1)&lt;&gt;"",INDEX(OHZ_HAZ_TOTAMOUNT,55,1)&lt;&gt;"",INDEX(OHZ_HAZ_PACKINGGRO,55,1)&lt;&gt;"",INDEX(OHZ_HAZ_FLASHPOINT,55,1)&lt;&gt;"",INDEX(OHZ_HAZ_MARPOLCODE,55,1)&lt;&gt;"",INDEX(OHZ_HAZ_PACTYPE,55,1)&lt;&gt;"",INDEX(OHZ_HAZ_TOTALPACKA,55,1)&lt;&gt;"",INDEX(OHZ_HAZ_ADDITIONAL,55,1)&lt;&gt;"",INDEX(OHZ_HAZ_EMS,55,1)&lt;&gt;"",INDEX(OHZ_HAZ_SUBSIDIARY,55,1)&lt;&gt;"",INDEX(OHZ_HAZ_UNITTYPE,55,1)&lt;&gt;"",INDEX(OHZ_HAZ_TEUID,55,1)&lt;&gt;"",INDEX(OHZ_HAZ_LOCATION,55,1)&lt;&gt;"",INDEX(OHZ_HAZ_PACKAGES,55,1)&lt;&gt;"",INDEX(OHZ_HAZ_AMOUNT,55,1)&lt;&gt;"",),IF(OR(INDEX(OHZ_HAZ_DGCLASSIFI,55,1)="",INDEX(OHZ_HAZ_TEXTUALREF,55,1)="",INDEX(OHZ_HAZ_TOTAMOUNT,55,1)="",INDEX(OHZ_HAZ_DPGREF,55,1)="",INDEX(OHZ_HAZ_CONSIGNMENT,55,1)="",),FALSE,TRUE),TRUE)</f>
        <v>1</v>
      </c>
      <c r="K62" s="237" t="str">
        <f t="shared" si="2"/>
        <v>Row 55 - All mandatory fields must be given</v>
      </c>
      <c r="L62" s="236" t="s">
        <v>1853</v>
      </c>
      <c r="R62" s="52"/>
      <c r="S62" s="52"/>
      <c r="T62" s="52" t="s">
        <v>2147</v>
      </c>
      <c r="V62" s="52"/>
    </row>
    <row r="63" spans="1:22">
      <c r="A63" s="313" t="b">
        <f>SUMPRODUCT(--(LEN(SEC_LAST_FACNAME)&gt;51))=0</f>
        <v>1</v>
      </c>
      <c r="B63" s="341" t="s">
        <v>2064</v>
      </c>
      <c r="F63" s="236" t="s">
        <v>1853</v>
      </c>
      <c r="G63" s="250" t="b">
        <f>IF(OR(INDEX(IHZ_HAZ_CONSIGNMENT,56,1)&lt;&gt;"",INDEX(IHZ_HAZ_TRANSDOCID,56,1)&lt;&gt;"",INDEX(IHZ_HAZ_PORTOFLOADING,56,1)&lt;&gt;"",INDEX(IHZ_HAZ_PORTOFDISCHARGE,56,1)&lt;&gt;"",INDEX(IHZ_HAZ_DPGREF,56,1)&lt;&gt;"",INDEX(IHZ_HAZ_DGCLASSIFI,56,1)&lt;&gt;"",INDEX(IHZ_HAZ_TEXTUALREF,56,1)&lt;&gt;"",INDEX(IHZ_HAZ_IMOHAZARDC,56,1)&lt;&gt;"",INDEX(IHZ_HAZ_UNNUMBER,56,1)&lt;&gt;"",INDEX(IHZ_HAZ_TOTAMOUNT,56,1)&lt;&gt;"",INDEX(IHZ_HAZ_PACKINGGRO,56,1)&lt;&gt;"",INDEX(IHZ_HAZ_FLASHPOINT,56,1)&lt;&gt;"",INDEX(IHZ_HAZ_MARPOLCODE,56,1)&lt;&gt;"",INDEX(IHZ_HAZ_PACTYPE,56,1)&lt;&gt;"",INDEX(IHZ_HAZ_TOTALPACKA,56,1)&lt;&gt;"",INDEX(IHZ_HAZ_ADDITIONAL,56,1)&lt;&gt;"",INDEX(IHZ_HAZ_EMS,56,1)&lt;&gt;"",INDEX(IHZ_HAZ_SUBSIDIARY,56,1)&lt;&gt;"",INDEX(IHZ_HAZ_UNITTYPE,56,1)&lt;&gt;"",INDEX(IHZ_HAZ_TEUID,56,1)&lt;&gt;"",INDEX(IHZ_HAZ_LOCATION,56,1)&lt;&gt;"",INDEX(IHZ_HAZ_PACKAGES,56,1)&lt;&gt;"",INDEX(IHZ_HAZ_AMOUNT,56,1)&lt;&gt;"",),IF(OR(INDEX(IHZ_HAZ_DGCLASSIFI,56,1)="",INDEX(IHZ_HAZ_TEXTUALREF,56,1)="",INDEX(IHZ_HAZ_TOTAMOUNT,56,1)="",INDEX(IHZ_HAZ_DPGREF,56,1)="",INDEX(IHZ_HAZ_CONSIGNMENT,56,1)="",),FALSE,TRUE),TRUE)</f>
        <v>1</v>
      </c>
      <c r="H63" s="237" t="str">
        <f t="shared" si="1"/>
        <v>Row 56 - All mandatory fields must be given</v>
      </c>
      <c r="I63" s="236" t="s">
        <v>1853</v>
      </c>
      <c r="J63" s="52" t="b">
        <f>IF(OR(INDEX(OHZ_HAZ_CONSIGNMENT,56,1)&lt;&gt;"",INDEX(OHZ_HAZ_TRANSDOCID,56,1)&lt;&gt;"",INDEX(OHZ_HAZ_PORTOFLOADING,56,1)&lt;&gt;"",INDEX(OHZ_HAZ_PORTOFDISCHARGE,56,1)&lt;&gt;"",INDEX(OHZ_HAZ_DPGREF,56,1)&lt;&gt;"",INDEX(OHZ_HAZ_DGCLASSIFI,56,1)&lt;&gt;"",INDEX(OHZ_HAZ_TEXTUALREF,56,1)&lt;&gt;"",INDEX(OHZ_HAZ_IMOHAZARDC,56,1)&lt;&gt;"",INDEX(OHZ_HAZ_UNNUMBER,56,1)&lt;&gt;"",INDEX(OHZ_HAZ_TOTAMOUNT,56,1)&lt;&gt;"",INDEX(OHZ_HAZ_PACKINGGRO,56,1)&lt;&gt;"",INDEX(OHZ_HAZ_FLASHPOINT,56,1)&lt;&gt;"",INDEX(OHZ_HAZ_MARPOLCODE,56,1)&lt;&gt;"",INDEX(OHZ_HAZ_PACTYPE,56,1)&lt;&gt;"",INDEX(OHZ_HAZ_TOTALPACKA,56,1)&lt;&gt;"",INDEX(OHZ_HAZ_ADDITIONAL,56,1)&lt;&gt;"",INDEX(OHZ_HAZ_EMS,56,1)&lt;&gt;"",INDEX(OHZ_HAZ_SUBSIDIARY,56,1)&lt;&gt;"",INDEX(OHZ_HAZ_UNITTYPE,56,1)&lt;&gt;"",INDEX(OHZ_HAZ_TEUID,56,1)&lt;&gt;"",INDEX(OHZ_HAZ_LOCATION,56,1)&lt;&gt;"",INDEX(OHZ_HAZ_PACKAGES,56,1)&lt;&gt;"",INDEX(OHZ_HAZ_AMOUNT,56,1)&lt;&gt;"",),IF(OR(INDEX(OHZ_HAZ_DGCLASSIFI,56,1)="",INDEX(OHZ_HAZ_TEXTUALREF,56,1)="",INDEX(OHZ_HAZ_TOTAMOUNT,56,1)="",INDEX(OHZ_HAZ_DPGREF,56,1)="",INDEX(OHZ_HAZ_CONSIGNMENT,56,1)="",),FALSE,TRUE),TRUE)</f>
        <v>1</v>
      </c>
      <c r="K63" s="237" t="str">
        <f t="shared" si="2"/>
        <v>Row 56 - All mandatory fields must be given</v>
      </c>
      <c r="L63" s="236" t="s">
        <v>1853</v>
      </c>
      <c r="R63" s="52"/>
      <c r="S63" s="52"/>
      <c r="T63" s="52" t="s">
        <v>2148</v>
      </c>
      <c r="V63" s="52"/>
    </row>
    <row r="64" spans="1:22">
      <c r="A64" s="313" t="b">
        <f>OR(LEN(INDEX(SEC_LAST_PORT,1,1))=5,LEN(INDEX(SEC_LAST_PORT,1,1))=0)</f>
        <v>1</v>
      </c>
      <c r="B64" s="341" t="s">
        <v>2005</v>
      </c>
      <c r="F64" s="236" t="s">
        <v>1853</v>
      </c>
      <c r="G64" s="250" t="b">
        <f>IF(OR(INDEX(IHZ_HAZ_CONSIGNMENT,57,1)&lt;&gt;"",INDEX(IHZ_HAZ_TRANSDOCID,57,1)&lt;&gt;"",INDEX(IHZ_HAZ_PORTOFLOADING,57,1)&lt;&gt;"",INDEX(IHZ_HAZ_PORTOFDISCHARGE,57,1)&lt;&gt;"",INDEX(IHZ_HAZ_DPGREF,57,1)&lt;&gt;"",INDEX(IHZ_HAZ_DGCLASSIFI,57,1)&lt;&gt;"",INDEX(IHZ_HAZ_TEXTUALREF,57,1)&lt;&gt;"",INDEX(IHZ_HAZ_IMOHAZARDC,57,1)&lt;&gt;"",INDEX(IHZ_HAZ_UNNUMBER,57,1)&lt;&gt;"",INDEX(IHZ_HAZ_TOTAMOUNT,57,1)&lt;&gt;"",INDEX(IHZ_HAZ_PACKINGGRO,57,1)&lt;&gt;"",INDEX(IHZ_HAZ_FLASHPOINT,57,1)&lt;&gt;"",INDEX(IHZ_HAZ_MARPOLCODE,57,1)&lt;&gt;"",INDEX(IHZ_HAZ_PACTYPE,57,1)&lt;&gt;"",INDEX(IHZ_HAZ_TOTALPACKA,57,1)&lt;&gt;"",INDEX(IHZ_HAZ_ADDITIONAL,57,1)&lt;&gt;"",INDEX(IHZ_HAZ_EMS,57,1)&lt;&gt;"",INDEX(IHZ_HAZ_SUBSIDIARY,57,1)&lt;&gt;"",INDEX(IHZ_HAZ_UNITTYPE,57,1)&lt;&gt;"",INDEX(IHZ_HAZ_TEUID,57,1)&lt;&gt;"",INDEX(IHZ_HAZ_LOCATION,57,1)&lt;&gt;"",INDEX(IHZ_HAZ_PACKAGES,57,1)&lt;&gt;"",INDEX(IHZ_HAZ_AMOUNT,57,1)&lt;&gt;"",),IF(OR(INDEX(IHZ_HAZ_DGCLASSIFI,57,1)="",INDEX(IHZ_HAZ_TEXTUALREF,57,1)="",INDEX(IHZ_HAZ_TOTAMOUNT,57,1)="",INDEX(IHZ_HAZ_DPGREF,57,1)="",INDEX(IHZ_HAZ_CONSIGNMENT,57,1)="",),FALSE,TRUE),TRUE)</f>
        <v>1</v>
      </c>
      <c r="H64" s="237" t="str">
        <f t="shared" si="1"/>
        <v>Row 57 - All mandatory fields must be given</v>
      </c>
      <c r="I64" s="236" t="s">
        <v>1853</v>
      </c>
      <c r="J64" s="52" t="b">
        <f>IF(OR(INDEX(OHZ_HAZ_CONSIGNMENT,57,1)&lt;&gt;"",INDEX(OHZ_HAZ_TRANSDOCID,57,1)&lt;&gt;"",INDEX(OHZ_HAZ_PORTOFLOADING,57,1)&lt;&gt;"",INDEX(OHZ_HAZ_PORTOFDISCHARGE,57,1)&lt;&gt;"",INDEX(OHZ_HAZ_DPGREF,57,1)&lt;&gt;"",INDEX(OHZ_HAZ_DGCLASSIFI,57,1)&lt;&gt;"",INDEX(OHZ_HAZ_TEXTUALREF,57,1)&lt;&gt;"",INDEX(OHZ_HAZ_IMOHAZARDC,57,1)&lt;&gt;"",INDEX(OHZ_HAZ_UNNUMBER,57,1)&lt;&gt;"",INDEX(OHZ_HAZ_TOTAMOUNT,57,1)&lt;&gt;"",INDEX(OHZ_HAZ_PACKINGGRO,57,1)&lt;&gt;"",INDEX(OHZ_HAZ_FLASHPOINT,57,1)&lt;&gt;"",INDEX(OHZ_HAZ_MARPOLCODE,57,1)&lt;&gt;"",INDEX(OHZ_HAZ_PACTYPE,57,1)&lt;&gt;"",INDEX(OHZ_HAZ_TOTALPACKA,57,1)&lt;&gt;"",INDEX(OHZ_HAZ_ADDITIONAL,57,1)&lt;&gt;"",INDEX(OHZ_HAZ_EMS,57,1)&lt;&gt;"",INDEX(OHZ_HAZ_SUBSIDIARY,57,1)&lt;&gt;"",INDEX(OHZ_HAZ_UNITTYPE,57,1)&lt;&gt;"",INDEX(OHZ_HAZ_TEUID,57,1)&lt;&gt;"",INDEX(OHZ_HAZ_LOCATION,57,1)&lt;&gt;"",INDEX(OHZ_HAZ_PACKAGES,57,1)&lt;&gt;"",INDEX(OHZ_HAZ_AMOUNT,57,1)&lt;&gt;"",),IF(OR(INDEX(OHZ_HAZ_DGCLASSIFI,57,1)="",INDEX(OHZ_HAZ_TEXTUALREF,57,1)="",INDEX(OHZ_HAZ_TOTAMOUNT,57,1)="",INDEX(OHZ_HAZ_DPGREF,57,1)="",INDEX(OHZ_HAZ_CONSIGNMENT,57,1)="",),FALSE,TRUE),TRUE)</f>
        <v>1</v>
      </c>
      <c r="K64" s="237" t="str">
        <f t="shared" si="2"/>
        <v>Row 57 - All mandatory fields must be given</v>
      </c>
      <c r="L64" s="236" t="s">
        <v>1853</v>
      </c>
      <c r="R64" s="52"/>
      <c r="S64" s="52"/>
      <c r="T64" s="52" t="s">
        <v>2149</v>
      </c>
      <c r="V64" s="52"/>
    </row>
    <row r="65" spans="1:22">
      <c r="A65" s="313" t="b">
        <f>OR(LEN(INDEX(SEC_LAST_PORTFAC,1,1))=4,LEN(INDEX(SEC_LAST_PORTFAC,1,1))=0)</f>
        <v>1</v>
      </c>
      <c r="B65" s="313" t="s">
        <v>2065</v>
      </c>
      <c r="F65" s="236" t="s">
        <v>1853</v>
      </c>
      <c r="G65" s="250" t="b">
        <f>IF(OR(INDEX(IHZ_HAZ_CONSIGNMENT,58,1)&lt;&gt;"",INDEX(IHZ_HAZ_TRANSDOCID,58,1)&lt;&gt;"",INDEX(IHZ_HAZ_PORTOFLOADING,58,1)&lt;&gt;"",INDEX(IHZ_HAZ_PORTOFDISCHARGE,58,1)&lt;&gt;"",INDEX(IHZ_HAZ_DPGREF,58,1)&lt;&gt;"",INDEX(IHZ_HAZ_DGCLASSIFI,58,1)&lt;&gt;"",INDEX(IHZ_HAZ_TEXTUALREF,58,1)&lt;&gt;"",INDEX(IHZ_HAZ_IMOHAZARDC,58,1)&lt;&gt;"",INDEX(IHZ_HAZ_UNNUMBER,58,1)&lt;&gt;"",INDEX(IHZ_HAZ_TOTAMOUNT,58,1)&lt;&gt;"",INDEX(IHZ_HAZ_PACKINGGRO,58,1)&lt;&gt;"",INDEX(IHZ_HAZ_FLASHPOINT,58,1)&lt;&gt;"",INDEX(IHZ_HAZ_MARPOLCODE,58,1)&lt;&gt;"",INDEX(IHZ_HAZ_PACTYPE,58,1)&lt;&gt;"",INDEX(IHZ_HAZ_TOTALPACKA,58,1)&lt;&gt;"",INDEX(IHZ_HAZ_ADDITIONAL,58,1)&lt;&gt;"",INDEX(IHZ_HAZ_EMS,58,1)&lt;&gt;"",INDEX(IHZ_HAZ_SUBSIDIARY,58,1)&lt;&gt;"",INDEX(IHZ_HAZ_UNITTYPE,58,1)&lt;&gt;"",INDEX(IHZ_HAZ_TEUID,58,1)&lt;&gt;"",INDEX(IHZ_HAZ_LOCATION,58,1)&lt;&gt;"",INDEX(IHZ_HAZ_PACKAGES,58,1)&lt;&gt;"",INDEX(IHZ_HAZ_AMOUNT,58,1)&lt;&gt;"",),IF(OR(INDEX(IHZ_HAZ_DGCLASSIFI,58,1)="",INDEX(IHZ_HAZ_TEXTUALREF,58,1)="",INDEX(IHZ_HAZ_TOTAMOUNT,58,1)="",INDEX(IHZ_HAZ_DPGREF,58,1)="",INDEX(IHZ_HAZ_CONSIGNMENT,58,1)="",),FALSE,TRUE),TRUE)</f>
        <v>1</v>
      </c>
      <c r="H65" s="237" t="str">
        <f t="shared" si="1"/>
        <v>Row 58 - All mandatory fields must be given</v>
      </c>
      <c r="I65" s="236" t="s">
        <v>1853</v>
      </c>
      <c r="J65" s="52" t="b">
        <f>IF(OR(INDEX(OHZ_HAZ_CONSIGNMENT,58,1)&lt;&gt;"",INDEX(OHZ_HAZ_TRANSDOCID,58,1)&lt;&gt;"",INDEX(OHZ_HAZ_PORTOFLOADING,58,1)&lt;&gt;"",INDEX(OHZ_HAZ_PORTOFDISCHARGE,58,1)&lt;&gt;"",INDEX(OHZ_HAZ_DPGREF,58,1)&lt;&gt;"",INDEX(OHZ_HAZ_DGCLASSIFI,58,1)&lt;&gt;"",INDEX(OHZ_HAZ_TEXTUALREF,58,1)&lt;&gt;"",INDEX(OHZ_HAZ_IMOHAZARDC,58,1)&lt;&gt;"",INDEX(OHZ_HAZ_UNNUMBER,58,1)&lt;&gt;"",INDEX(OHZ_HAZ_TOTAMOUNT,58,1)&lt;&gt;"",INDEX(OHZ_HAZ_PACKINGGRO,58,1)&lt;&gt;"",INDEX(OHZ_HAZ_FLASHPOINT,58,1)&lt;&gt;"",INDEX(OHZ_HAZ_MARPOLCODE,58,1)&lt;&gt;"",INDEX(OHZ_HAZ_PACTYPE,58,1)&lt;&gt;"",INDEX(OHZ_HAZ_TOTALPACKA,58,1)&lt;&gt;"",INDEX(OHZ_HAZ_ADDITIONAL,58,1)&lt;&gt;"",INDEX(OHZ_HAZ_EMS,58,1)&lt;&gt;"",INDEX(OHZ_HAZ_SUBSIDIARY,58,1)&lt;&gt;"",INDEX(OHZ_HAZ_UNITTYPE,58,1)&lt;&gt;"",INDEX(OHZ_HAZ_TEUID,58,1)&lt;&gt;"",INDEX(OHZ_HAZ_LOCATION,58,1)&lt;&gt;"",INDEX(OHZ_HAZ_PACKAGES,58,1)&lt;&gt;"",INDEX(OHZ_HAZ_AMOUNT,58,1)&lt;&gt;"",),IF(OR(INDEX(OHZ_HAZ_DGCLASSIFI,58,1)="",INDEX(OHZ_HAZ_TEXTUALREF,58,1)="",INDEX(OHZ_HAZ_TOTAMOUNT,58,1)="",INDEX(OHZ_HAZ_DPGREF,58,1)="",INDEX(OHZ_HAZ_CONSIGNMENT,58,1)="",),FALSE,TRUE),TRUE)</f>
        <v>1</v>
      </c>
      <c r="K65" s="237" t="str">
        <f t="shared" si="2"/>
        <v>Row 58 - All mandatory fields must be given</v>
      </c>
      <c r="L65" s="236" t="s">
        <v>1853</v>
      </c>
      <c r="R65" s="52"/>
      <c r="S65" s="52"/>
      <c r="T65" s="52" t="s">
        <v>2150</v>
      </c>
      <c r="V65" s="52"/>
    </row>
    <row r="66" spans="1:22">
      <c r="A66" s="313" t="b">
        <f>OR(LEN(INDEX(SEC_LAST_PORTFAC,2,1))=4,LEN(INDEX(SEC_LAST_PORTFAC,2,1))=0)</f>
        <v>1</v>
      </c>
      <c r="B66" s="313" t="s">
        <v>2066</v>
      </c>
      <c r="F66" s="236" t="s">
        <v>1853</v>
      </c>
      <c r="G66" s="250" t="b">
        <f>IF(OR(INDEX(IHZ_HAZ_CONSIGNMENT,59,1)&lt;&gt;"",INDEX(IHZ_HAZ_TRANSDOCID,59,1)&lt;&gt;"",INDEX(IHZ_HAZ_PORTOFLOADING,59,1)&lt;&gt;"",INDEX(IHZ_HAZ_PORTOFDISCHARGE,59,1)&lt;&gt;"",INDEX(IHZ_HAZ_DPGREF,59,1)&lt;&gt;"",INDEX(IHZ_HAZ_DGCLASSIFI,59,1)&lt;&gt;"",INDEX(IHZ_HAZ_TEXTUALREF,59,1)&lt;&gt;"",INDEX(IHZ_HAZ_IMOHAZARDC,59,1)&lt;&gt;"",INDEX(IHZ_HAZ_UNNUMBER,59,1)&lt;&gt;"",INDEX(IHZ_HAZ_TOTAMOUNT,59,1)&lt;&gt;"",INDEX(IHZ_HAZ_PACKINGGRO,59,1)&lt;&gt;"",INDEX(IHZ_HAZ_FLASHPOINT,59,1)&lt;&gt;"",INDEX(IHZ_HAZ_MARPOLCODE,59,1)&lt;&gt;"",INDEX(IHZ_HAZ_PACTYPE,59,1)&lt;&gt;"",INDEX(IHZ_HAZ_TOTALPACKA,59,1)&lt;&gt;"",INDEX(IHZ_HAZ_ADDITIONAL,59,1)&lt;&gt;"",INDEX(IHZ_HAZ_EMS,59,1)&lt;&gt;"",INDEX(IHZ_HAZ_SUBSIDIARY,59,1)&lt;&gt;"",INDEX(IHZ_HAZ_UNITTYPE,59,1)&lt;&gt;"",INDEX(IHZ_HAZ_TEUID,59,1)&lt;&gt;"",INDEX(IHZ_HAZ_LOCATION,59,1)&lt;&gt;"",INDEX(IHZ_HAZ_PACKAGES,59,1)&lt;&gt;"",INDEX(IHZ_HAZ_AMOUNT,59,1)&lt;&gt;"",),IF(OR(INDEX(IHZ_HAZ_DGCLASSIFI,59,1)="",INDEX(IHZ_HAZ_TEXTUALREF,59,1)="",INDEX(IHZ_HAZ_TOTAMOUNT,59,1)="",INDEX(IHZ_HAZ_DPGREF,59,1)="",INDEX(IHZ_HAZ_CONSIGNMENT,59,1)="",),FALSE,TRUE),TRUE)</f>
        <v>1</v>
      </c>
      <c r="H66" s="237" t="str">
        <f t="shared" si="1"/>
        <v>Row 59 - All mandatory fields must be given</v>
      </c>
      <c r="I66" s="236" t="s">
        <v>1853</v>
      </c>
      <c r="J66" s="52" t="b">
        <f>IF(OR(INDEX(OHZ_HAZ_CONSIGNMENT,59,1)&lt;&gt;"",INDEX(OHZ_HAZ_TRANSDOCID,59,1)&lt;&gt;"",INDEX(OHZ_HAZ_PORTOFLOADING,59,1)&lt;&gt;"",INDEX(OHZ_HAZ_PORTOFDISCHARGE,59,1)&lt;&gt;"",INDEX(OHZ_HAZ_DPGREF,59,1)&lt;&gt;"",INDEX(OHZ_HAZ_DGCLASSIFI,59,1)&lt;&gt;"",INDEX(OHZ_HAZ_TEXTUALREF,59,1)&lt;&gt;"",INDEX(OHZ_HAZ_IMOHAZARDC,59,1)&lt;&gt;"",INDEX(OHZ_HAZ_UNNUMBER,59,1)&lt;&gt;"",INDEX(OHZ_HAZ_TOTAMOUNT,59,1)&lt;&gt;"",INDEX(OHZ_HAZ_PACKINGGRO,59,1)&lt;&gt;"",INDEX(OHZ_HAZ_FLASHPOINT,59,1)&lt;&gt;"",INDEX(OHZ_HAZ_MARPOLCODE,59,1)&lt;&gt;"",INDEX(OHZ_HAZ_PACTYPE,59,1)&lt;&gt;"",INDEX(OHZ_HAZ_TOTALPACKA,59,1)&lt;&gt;"",INDEX(OHZ_HAZ_ADDITIONAL,59,1)&lt;&gt;"",INDEX(OHZ_HAZ_EMS,59,1)&lt;&gt;"",INDEX(OHZ_HAZ_SUBSIDIARY,59,1)&lt;&gt;"",INDEX(OHZ_HAZ_UNITTYPE,59,1)&lt;&gt;"",INDEX(OHZ_HAZ_TEUID,59,1)&lt;&gt;"",INDEX(OHZ_HAZ_LOCATION,59,1)&lt;&gt;"",INDEX(OHZ_HAZ_PACKAGES,59,1)&lt;&gt;"",INDEX(OHZ_HAZ_AMOUNT,59,1)&lt;&gt;"",),IF(OR(INDEX(OHZ_HAZ_DGCLASSIFI,59,1)="",INDEX(OHZ_HAZ_TEXTUALREF,59,1)="",INDEX(OHZ_HAZ_TOTAMOUNT,59,1)="",INDEX(OHZ_HAZ_DPGREF,59,1)="",INDEX(OHZ_HAZ_CONSIGNMENT,59,1)="",),FALSE,TRUE),TRUE)</f>
        <v>1</v>
      </c>
      <c r="K66" s="237" t="str">
        <f t="shared" si="2"/>
        <v>Row 59 - All mandatory fields must be given</v>
      </c>
      <c r="L66" s="236" t="s">
        <v>1853</v>
      </c>
      <c r="R66" s="52"/>
      <c r="S66" s="52"/>
      <c r="T66" s="52" t="s">
        <v>2151</v>
      </c>
      <c r="V66" s="52"/>
    </row>
    <row r="67" spans="1:22">
      <c r="A67" s="313" t="b">
        <f>OR(LEN(INDEX(SEC_LAST_PORTFAC,3,1))=4,LEN(INDEX(SEC_LAST_PORTFAC,3,1))=0)</f>
        <v>1</v>
      </c>
      <c r="B67" s="313" t="s">
        <v>2067</v>
      </c>
      <c r="F67" s="236" t="s">
        <v>1853</v>
      </c>
      <c r="G67" s="250" t="b">
        <f>IF(OR(INDEX(IHZ_HAZ_CONSIGNMENT,60,1)&lt;&gt;"",INDEX(IHZ_HAZ_TRANSDOCID,60,1)&lt;&gt;"",INDEX(IHZ_HAZ_PORTOFLOADING,60,1)&lt;&gt;"",INDEX(IHZ_HAZ_PORTOFDISCHARGE,60,1)&lt;&gt;"",INDEX(IHZ_HAZ_DPGREF,60,1)&lt;&gt;"",INDEX(IHZ_HAZ_DGCLASSIFI,60,1)&lt;&gt;"",INDEX(IHZ_HAZ_TEXTUALREF,60,1)&lt;&gt;"",INDEX(IHZ_HAZ_IMOHAZARDC,60,1)&lt;&gt;"",INDEX(IHZ_HAZ_UNNUMBER,60,1)&lt;&gt;"",INDEX(IHZ_HAZ_TOTAMOUNT,60,1)&lt;&gt;"",INDEX(IHZ_HAZ_PACKINGGRO,60,1)&lt;&gt;"",INDEX(IHZ_HAZ_FLASHPOINT,60,1)&lt;&gt;"",INDEX(IHZ_HAZ_MARPOLCODE,60,1)&lt;&gt;"",INDEX(IHZ_HAZ_PACTYPE,60,1)&lt;&gt;"",INDEX(IHZ_HAZ_TOTALPACKA,60,1)&lt;&gt;"",INDEX(IHZ_HAZ_ADDITIONAL,60,1)&lt;&gt;"",INDEX(IHZ_HAZ_EMS,60,1)&lt;&gt;"",INDEX(IHZ_HAZ_SUBSIDIARY,60,1)&lt;&gt;"",INDEX(IHZ_HAZ_UNITTYPE,60,1)&lt;&gt;"",INDEX(IHZ_HAZ_TEUID,60,1)&lt;&gt;"",INDEX(IHZ_HAZ_LOCATION,60,1)&lt;&gt;"",INDEX(IHZ_HAZ_PACKAGES,60,1)&lt;&gt;"",INDEX(IHZ_HAZ_AMOUNT,60,1)&lt;&gt;"",),IF(OR(INDEX(IHZ_HAZ_DGCLASSIFI,60,1)="",INDEX(IHZ_HAZ_TEXTUALREF,60,1)="",INDEX(IHZ_HAZ_TOTAMOUNT,60,1)="",INDEX(IHZ_HAZ_DPGREF,60,1)="",INDEX(IHZ_HAZ_CONSIGNMENT,60,1)="",),FALSE,TRUE),TRUE)</f>
        <v>1</v>
      </c>
      <c r="H67" s="237" t="str">
        <f t="shared" si="1"/>
        <v>Row 60 - All mandatory fields must be given</v>
      </c>
      <c r="I67" s="236" t="s">
        <v>1853</v>
      </c>
      <c r="J67" s="52" t="b">
        <f>IF(OR(INDEX(OHZ_HAZ_CONSIGNMENT,60,1)&lt;&gt;"",INDEX(OHZ_HAZ_TRANSDOCID,60,1)&lt;&gt;"",INDEX(OHZ_HAZ_PORTOFLOADING,60,1)&lt;&gt;"",INDEX(OHZ_HAZ_PORTOFDISCHARGE,60,1)&lt;&gt;"",INDEX(OHZ_HAZ_DPGREF,60,1)&lt;&gt;"",INDEX(OHZ_HAZ_DGCLASSIFI,60,1)&lt;&gt;"",INDEX(OHZ_HAZ_TEXTUALREF,60,1)&lt;&gt;"",INDEX(OHZ_HAZ_IMOHAZARDC,60,1)&lt;&gt;"",INDEX(OHZ_HAZ_UNNUMBER,60,1)&lt;&gt;"",INDEX(OHZ_HAZ_TOTAMOUNT,60,1)&lt;&gt;"",INDEX(OHZ_HAZ_PACKINGGRO,60,1)&lt;&gt;"",INDEX(OHZ_HAZ_FLASHPOINT,60,1)&lt;&gt;"",INDEX(OHZ_HAZ_MARPOLCODE,60,1)&lt;&gt;"",INDEX(OHZ_HAZ_PACTYPE,60,1)&lt;&gt;"",INDEX(OHZ_HAZ_TOTALPACKA,60,1)&lt;&gt;"",INDEX(OHZ_HAZ_ADDITIONAL,60,1)&lt;&gt;"",INDEX(OHZ_HAZ_EMS,60,1)&lt;&gt;"",INDEX(OHZ_HAZ_SUBSIDIARY,60,1)&lt;&gt;"",INDEX(OHZ_HAZ_UNITTYPE,60,1)&lt;&gt;"",INDEX(OHZ_HAZ_TEUID,60,1)&lt;&gt;"",INDEX(OHZ_HAZ_LOCATION,60,1)&lt;&gt;"",INDEX(OHZ_HAZ_PACKAGES,60,1)&lt;&gt;"",INDEX(OHZ_HAZ_AMOUNT,60,1)&lt;&gt;"",),IF(OR(INDEX(OHZ_HAZ_DGCLASSIFI,60,1)="",INDEX(OHZ_HAZ_TEXTUALREF,60,1)="",INDEX(OHZ_HAZ_TOTAMOUNT,60,1)="",INDEX(OHZ_HAZ_DPGREF,60,1)="",INDEX(OHZ_HAZ_CONSIGNMENT,60,1)="",),FALSE,TRUE),TRUE)</f>
        <v>1</v>
      </c>
      <c r="K67" s="237" t="str">
        <f t="shared" si="2"/>
        <v>Row 60 - All mandatory fields must be given</v>
      </c>
      <c r="L67" s="236" t="s">
        <v>1853</v>
      </c>
      <c r="R67" s="52"/>
      <c r="S67" s="52"/>
      <c r="T67" s="52" t="s">
        <v>2152</v>
      </c>
      <c r="V67" s="52"/>
    </row>
    <row r="68" spans="1:22">
      <c r="A68" s="313" t="b">
        <f>OR(LEN(INDEX(SEC_LAST_PORTFAC,4,1))=4,LEN(INDEX(SEC_LAST_PORTFAC,4,1))=0)</f>
        <v>1</v>
      </c>
      <c r="B68" s="313" t="s">
        <v>2068</v>
      </c>
      <c r="F68" s="236" t="s">
        <v>1853</v>
      </c>
      <c r="G68" s="250" t="b">
        <f>IF(OR(INDEX(IHZ_HAZ_CONSIGNMENT,61,1)&lt;&gt;"",INDEX(IHZ_HAZ_TRANSDOCID,61,1)&lt;&gt;"",INDEX(IHZ_HAZ_PORTOFLOADING,61,1)&lt;&gt;"",INDEX(IHZ_HAZ_PORTOFDISCHARGE,61,1)&lt;&gt;"",INDEX(IHZ_HAZ_DPGREF,61,1)&lt;&gt;"",INDEX(IHZ_HAZ_DGCLASSIFI,61,1)&lt;&gt;"",INDEX(IHZ_HAZ_TEXTUALREF,61,1)&lt;&gt;"",INDEX(IHZ_HAZ_IMOHAZARDC,61,1)&lt;&gt;"",INDEX(IHZ_HAZ_UNNUMBER,61,1)&lt;&gt;"",INDEX(IHZ_HAZ_TOTAMOUNT,61,1)&lt;&gt;"",INDEX(IHZ_HAZ_PACKINGGRO,61,1)&lt;&gt;"",INDEX(IHZ_HAZ_FLASHPOINT,61,1)&lt;&gt;"",INDEX(IHZ_HAZ_MARPOLCODE,61,1)&lt;&gt;"",INDEX(IHZ_HAZ_PACTYPE,61,1)&lt;&gt;"",INDEX(IHZ_HAZ_TOTALPACKA,61,1)&lt;&gt;"",INDEX(IHZ_HAZ_ADDITIONAL,61,1)&lt;&gt;"",INDEX(IHZ_HAZ_EMS,61,1)&lt;&gt;"",INDEX(IHZ_HAZ_SUBSIDIARY,61,1)&lt;&gt;"",INDEX(IHZ_HAZ_UNITTYPE,61,1)&lt;&gt;"",INDEX(IHZ_HAZ_TEUID,61,1)&lt;&gt;"",INDEX(IHZ_HAZ_LOCATION,61,1)&lt;&gt;"",INDEX(IHZ_HAZ_PACKAGES,61,1)&lt;&gt;"",INDEX(IHZ_HAZ_AMOUNT,61,1)&lt;&gt;"",),IF(OR(INDEX(IHZ_HAZ_DGCLASSIFI,61,1)="",INDEX(IHZ_HAZ_TEXTUALREF,61,1)="",INDEX(IHZ_HAZ_TOTAMOUNT,61,1)="",INDEX(IHZ_HAZ_DPGREF,61,1)="",INDEX(IHZ_HAZ_CONSIGNMENT,61,1)="",),FALSE,TRUE),TRUE)</f>
        <v>1</v>
      </c>
      <c r="H68" s="237" t="str">
        <f t="shared" si="1"/>
        <v>Row 61 - All mandatory fields must be given</v>
      </c>
      <c r="I68" s="236" t="s">
        <v>1853</v>
      </c>
      <c r="J68" s="52" t="b">
        <f>IF(OR(INDEX(OHZ_HAZ_CONSIGNMENT,61,1)&lt;&gt;"",INDEX(OHZ_HAZ_TRANSDOCID,61,1)&lt;&gt;"",INDEX(OHZ_HAZ_PORTOFLOADING,61,1)&lt;&gt;"",INDEX(OHZ_HAZ_PORTOFDISCHARGE,61,1)&lt;&gt;"",INDEX(OHZ_HAZ_DPGREF,61,1)&lt;&gt;"",INDEX(OHZ_HAZ_DGCLASSIFI,61,1)&lt;&gt;"",INDEX(OHZ_HAZ_TEXTUALREF,61,1)&lt;&gt;"",INDEX(OHZ_HAZ_IMOHAZARDC,61,1)&lt;&gt;"",INDEX(OHZ_HAZ_UNNUMBER,61,1)&lt;&gt;"",INDEX(OHZ_HAZ_TOTAMOUNT,61,1)&lt;&gt;"",INDEX(OHZ_HAZ_PACKINGGRO,61,1)&lt;&gt;"",INDEX(OHZ_HAZ_FLASHPOINT,61,1)&lt;&gt;"",INDEX(OHZ_HAZ_MARPOLCODE,61,1)&lt;&gt;"",INDEX(OHZ_HAZ_PACTYPE,61,1)&lt;&gt;"",INDEX(OHZ_HAZ_TOTALPACKA,61,1)&lt;&gt;"",INDEX(OHZ_HAZ_ADDITIONAL,61,1)&lt;&gt;"",INDEX(OHZ_HAZ_EMS,61,1)&lt;&gt;"",INDEX(OHZ_HAZ_SUBSIDIARY,61,1)&lt;&gt;"",INDEX(OHZ_HAZ_UNITTYPE,61,1)&lt;&gt;"",INDEX(OHZ_HAZ_TEUID,61,1)&lt;&gt;"",INDEX(OHZ_HAZ_LOCATION,61,1)&lt;&gt;"",INDEX(OHZ_HAZ_PACKAGES,61,1)&lt;&gt;"",INDEX(OHZ_HAZ_AMOUNT,61,1)&lt;&gt;"",),IF(OR(INDEX(OHZ_HAZ_DGCLASSIFI,61,1)="",INDEX(OHZ_HAZ_TEXTUALREF,61,1)="",INDEX(OHZ_HAZ_TOTAMOUNT,61,1)="",INDEX(OHZ_HAZ_DPGREF,61,1)="",INDEX(OHZ_HAZ_CONSIGNMENT,61,1)="",),FALSE,TRUE),TRUE)</f>
        <v>1</v>
      </c>
      <c r="K68" s="237" t="str">
        <f t="shared" si="2"/>
        <v>Row 61 - All mandatory fields must be given</v>
      </c>
      <c r="L68" s="236" t="s">
        <v>1853</v>
      </c>
      <c r="R68" s="52"/>
      <c r="S68" s="52"/>
      <c r="T68" s="52" t="s">
        <v>2153</v>
      </c>
      <c r="V68" s="52"/>
    </row>
    <row r="69" spans="1:22">
      <c r="A69" s="313" t="b">
        <f>OR(LEN(INDEX(SEC_LAST_PORTFAC,5,1))=4,LEN(INDEX(SEC_LAST_PORTFAC,5,1))=0)</f>
        <v>1</v>
      </c>
      <c r="B69" s="313" t="s">
        <v>2069</v>
      </c>
      <c r="F69" s="236" t="s">
        <v>1853</v>
      </c>
      <c r="G69" s="250" t="b">
        <f>IF(OR(INDEX(IHZ_HAZ_CONSIGNMENT,62,1)&lt;&gt;"",INDEX(IHZ_HAZ_TRANSDOCID,62,1)&lt;&gt;"",INDEX(IHZ_HAZ_PORTOFLOADING,62,1)&lt;&gt;"",INDEX(IHZ_HAZ_PORTOFDISCHARGE,62,1)&lt;&gt;"",INDEX(IHZ_HAZ_DPGREF,62,1)&lt;&gt;"",INDEX(IHZ_HAZ_DGCLASSIFI,62,1)&lt;&gt;"",INDEX(IHZ_HAZ_TEXTUALREF,62,1)&lt;&gt;"",INDEX(IHZ_HAZ_IMOHAZARDC,62,1)&lt;&gt;"",INDEX(IHZ_HAZ_UNNUMBER,62,1)&lt;&gt;"",INDEX(IHZ_HAZ_TOTAMOUNT,62,1)&lt;&gt;"",INDEX(IHZ_HAZ_PACKINGGRO,62,1)&lt;&gt;"",INDEX(IHZ_HAZ_FLASHPOINT,62,1)&lt;&gt;"",INDEX(IHZ_HAZ_MARPOLCODE,62,1)&lt;&gt;"",INDEX(IHZ_HAZ_PACTYPE,62,1)&lt;&gt;"",INDEX(IHZ_HAZ_TOTALPACKA,62,1)&lt;&gt;"",INDEX(IHZ_HAZ_ADDITIONAL,62,1)&lt;&gt;"",INDEX(IHZ_HAZ_EMS,62,1)&lt;&gt;"",INDEX(IHZ_HAZ_SUBSIDIARY,62,1)&lt;&gt;"",INDEX(IHZ_HAZ_UNITTYPE,62,1)&lt;&gt;"",INDEX(IHZ_HAZ_TEUID,62,1)&lt;&gt;"",INDEX(IHZ_HAZ_LOCATION,62,1)&lt;&gt;"",INDEX(IHZ_HAZ_PACKAGES,62,1)&lt;&gt;"",INDEX(IHZ_HAZ_AMOUNT,62,1)&lt;&gt;"",),IF(OR(INDEX(IHZ_HAZ_DGCLASSIFI,62,1)="",INDEX(IHZ_HAZ_TEXTUALREF,62,1)="",INDEX(IHZ_HAZ_TOTAMOUNT,62,1)="",INDEX(IHZ_HAZ_DPGREF,62,1)="",INDEX(IHZ_HAZ_CONSIGNMENT,62,1)="",),FALSE,TRUE),TRUE)</f>
        <v>1</v>
      </c>
      <c r="H69" s="237" t="str">
        <f t="shared" si="1"/>
        <v>Row 62 - All mandatory fields must be given</v>
      </c>
      <c r="I69" s="236" t="s">
        <v>1853</v>
      </c>
      <c r="J69" s="52" t="b">
        <f>IF(OR(INDEX(OHZ_HAZ_CONSIGNMENT,62,1)&lt;&gt;"",INDEX(OHZ_HAZ_TRANSDOCID,62,1)&lt;&gt;"",INDEX(OHZ_HAZ_PORTOFLOADING,62,1)&lt;&gt;"",INDEX(OHZ_HAZ_PORTOFDISCHARGE,62,1)&lt;&gt;"",INDEX(OHZ_HAZ_DPGREF,62,1)&lt;&gt;"",INDEX(OHZ_HAZ_DGCLASSIFI,62,1)&lt;&gt;"",INDEX(OHZ_HAZ_TEXTUALREF,62,1)&lt;&gt;"",INDEX(OHZ_HAZ_IMOHAZARDC,62,1)&lt;&gt;"",INDEX(OHZ_HAZ_UNNUMBER,62,1)&lt;&gt;"",INDEX(OHZ_HAZ_TOTAMOUNT,62,1)&lt;&gt;"",INDEX(OHZ_HAZ_PACKINGGRO,62,1)&lt;&gt;"",INDEX(OHZ_HAZ_FLASHPOINT,62,1)&lt;&gt;"",INDEX(OHZ_HAZ_MARPOLCODE,62,1)&lt;&gt;"",INDEX(OHZ_HAZ_PACTYPE,62,1)&lt;&gt;"",INDEX(OHZ_HAZ_TOTALPACKA,62,1)&lt;&gt;"",INDEX(OHZ_HAZ_ADDITIONAL,62,1)&lt;&gt;"",INDEX(OHZ_HAZ_EMS,62,1)&lt;&gt;"",INDEX(OHZ_HAZ_SUBSIDIARY,62,1)&lt;&gt;"",INDEX(OHZ_HAZ_UNITTYPE,62,1)&lt;&gt;"",INDEX(OHZ_HAZ_TEUID,62,1)&lt;&gt;"",INDEX(OHZ_HAZ_LOCATION,62,1)&lt;&gt;"",INDEX(OHZ_HAZ_PACKAGES,62,1)&lt;&gt;"",INDEX(OHZ_HAZ_AMOUNT,62,1)&lt;&gt;"",),IF(OR(INDEX(OHZ_HAZ_DGCLASSIFI,62,1)="",INDEX(OHZ_HAZ_TEXTUALREF,62,1)="",INDEX(OHZ_HAZ_TOTAMOUNT,62,1)="",INDEX(OHZ_HAZ_DPGREF,62,1)="",INDEX(OHZ_HAZ_CONSIGNMENT,62,1)="",),FALSE,TRUE),TRUE)</f>
        <v>1</v>
      </c>
      <c r="K69" s="237" t="str">
        <f t="shared" si="2"/>
        <v>Row 62 - All mandatory fields must be given</v>
      </c>
      <c r="L69" s="236" t="s">
        <v>1853</v>
      </c>
      <c r="R69" s="52"/>
      <c r="S69" s="52"/>
      <c r="T69" s="52" t="s">
        <v>2154</v>
      </c>
      <c r="V69" s="52"/>
    </row>
    <row r="70" spans="1:22">
      <c r="A70" s="313" t="b">
        <f>OR(LEN(INDEX(SEC_LAST_PORTFAC,6,1))=4,LEN(INDEX(SEC_LAST_PORTFAC,6,1))=0)</f>
        <v>1</v>
      </c>
      <c r="B70" s="313" t="s">
        <v>2070</v>
      </c>
      <c r="F70" s="236" t="s">
        <v>1853</v>
      </c>
      <c r="G70" s="250" t="b">
        <f>IF(OR(INDEX(IHZ_HAZ_CONSIGNMENT,63,1)&lt;&gt;"",INDEX(IHZ_HAZ_TRANSDOCID,63,1)&lt;&gt;"",INDEX(IHZ_HAZ_PORTOFLOADING,63,1)&lt;&gt;"",INDEX(IHZ_HAZ_PORTOFDISCHARGE,63,1)&lt;&gt;"",INDEX(IHZ_HAZ_DPGREF,63,1)&lt;&gt;"",INDEX(IHZ_HAZ_DGCLASSIFI,63,1)&lt;&gt;"",INDEX(IHZ_HAZ_TEXTUALREF,63,1)&lt;&gt;"",INDEX(IHZ_HAZ_IMOHAZARDC,63,1)&lt;&gt;"",INDEX(IHZ_HAZ_UNNUMBER,63,1)&lt;&gt;"",INDEX(IHZ_HAZ_TOTAMOUNT,63,1)&lt;&gt;"",INDEX(IHZ_HAZ_PACKINGGRO,63,1)&lt;&gt;"",INDEX(IHZ_HAZ_FLASHPOINT,63,1)&lt;&gt;"",INDEX(IHZ_HAZ_MARPOLCODE,63,1)&lt;&gt;"",INDEX(IHZ_HAZ_PACTYPE,63,1)&lt;&gt;"",INDEX(IHZ_HAZ_TOTALPACKA,63,1)&lt;&gt;"",INDEX(IHZ_HAZ_ADDITIONAL,63,1)&lt;&gt;"",INDEX(IHZ_HAZ_EMS,63,1)&lt;&gt;"",INDEX(IHZ_HAZ_SUBSIDIARY,63,1)&lt;&gt;"",INDEX(IHZ_HAZ_UNITTYPE,63,1)&lt;&gt;"",INDEX(IHZ_HAZ_TEUID,63,1)&lt;&gt;"",INDEX(IHZ_HAZ_LOCATION,63,1)&lt;&gt;"",INDEX(IHZ_HAZ_PACKAGES,63,1)&lt;&gt;"",INDEX(IHZ_HAZ_AMOUNT,63,1)&lt;&gt;"",),IF(OR(INDEX(IHZ_HAZ_DGCLASSIFI,63,1)="",INDEX(IHZ_HAZ_TEXTUALREF,63,1)="",INDEX(IHZ_HAZ_TOTAMOUNT,63,1)="",INDEX(IHZ_HAZ_DPGREF,63,1)="",INDEX(IHZ_HAZ_CONSIGNMENT,63,1)="",),FALSE,TRUE),TRUE)</f>
        <v>1</v>
      </c>
      <c r="H70" s="237" t="str">
        <f t="shared" si="1"/>
        <v>Row 63 - All mandatory fields must be given</v>
      </c>
      <c r="I70" s="236" t="s">
        <v>1853</v>
      </c>
      <c r="J70" s="52" t="b">
        <f>IF(OR(INDEX(OHZ_HAZ_CONSIGNMENT,63,1)&lt;&gt;"",INDEX(OHZ_HAZ_TRANSDOCID,63,1)&lt;&gt;"",INDEX(OHZ_HAZ_PORTOFLOADING,63,1)&lt;&gt;"",INDEX(OHZ_HAZ_PORTOFDISCHARGE,63,1)&lt;&gt;"",INDEX(OHZ_HAZ_DPGREF,63,1)&lt;&gt;"",INDEX(OHZ_HAZ_DGCLASSIFI,63,1)&lt;&gt;"",INDEX(OHZ_HAZ_TEXTUALREF,63,1)&lt;&gt;"",INDEX(OHZ_HAZ_IMOHAZARDC,63,1)&lt;&gt;"",INDEX(OHZ_HAZ_UNNUMBER,63,1)&lt;&gt;"",INDEX(OHZ_HAZ_TOTAMOUNT,63,1)&lt;&gt;"",INDEX(OHZ_HAZ_PACKINGGRO,63,1)&lt;&gt;"",INDEX(OHZ_HAZ_FLASHPOINT,63,1)&lt;&gt;"",INDEX(OHZ_HAZ_MARPOLCODE,63,1)&lt;&gt;"",INDEX(OHZ_HAZ_PACTYPE,63,1)&lt;&gt;"",INDEX(OHZ_HAZ_TOTALPACKA,63,1)&lt;&gt;"",INDEX(OHZ_HAZ_ADDITIONAL,63,1)&lt;&gt;"",INDEX(OHZ_HAZ_EMS,63,1)&lt;&gt;"",INDEX(OHZ_HAZ_SUBSIDIARY,63,1)&lt;&gt;"",INDEX(OHZ_HAZ_UNITTYPE,63,1)&lt;&gt;"",INDEX(OHZ_HAZ_TEUID,63,1)&lt;&gt;"",INDEX(OHZ_HAZ_LOCATION,63,1)&lt;&gt;"",INDEX(OHZ_HAZ_PACKAGES,63,1)&lt;&gt;"",INDEX(OHZ_HAZ_AMOUNT,63,1)&lt;&gt;"",),IF(OR(INDEX(OHZ_HAZ_DGCLASSIFI,63,1)="",INDEX(OHZ_HAZ_TEXTUALREF,63,1)="",INDEX(OHZ_HAZ_TOTAMOUNT,63,1)="",INDEX(OHZ_HAZ_DPGREF,63,1)="",INDEX(OHZ_HAZ_CONSIGNMENT,63,1)="",),FALSE,TRUE),TRUE)</f>
        <v>1</v>
      </c>
      <c r="K70" s="237" t="str">
        <f t="shared" si="2"/>
        <v>Row 63 - All mandatory fields must be given</v>
      </c>
      <c r="L70" s="236" t="s">
        <v>1853</v>
      </c>
      <c r="R70" s="52"/>
      <c r="S70" s="52"/>
      <c r="T70" s="52" t="s">
        <v>2155</v>
      </c>
      <c r="V70" s="52"/>
    </row>
    <row r="71" spans="1:22">
      <c r="A71" s="313" t="b">
        <f>OR(LEN(INDEX(SEC_LAST_PORTFAC,7,1))=4,LEN(INDEX(SEC_LAST_PORTFAC,7,1))=0)</f>
        <v>1</v>
      </c>
      <c r="B71" s="313" t="s">
        <v>2071</v>
      </c>
      <c r="F71" s="236" t="s">
        <v>1853</v>
      </c>
      <c r="G71" s="250" t="b">
        <f>IF(OR(INDEX(IHZ_HAZ_CONSIGNMENT,64,1)&lt;&gt;"",INDEX(IHZ_HAZ_TRANSDOCID,64,1)&lt;&gt;"",INDEX(IHZ_HAZ_PORTOFLOADING,64,1)&lt;&gt;"",INDEX(IHZ_HAZ_PORTOFDISCHARGE,64,1)&lt;&gt;"",INDEX(IHZ_HAZ_DPGREF,64,1)&lt;&gt;"",INDEX(IHZ_HAZ_DGCLASSIFI,64,1)&lt;&gt;"",INDEX(IHZ_HAZ_TEXTUALREF,64,1)&lt;&gt;"",INDEX(IHZ_HAZ_IMOHAZARDC,64,1)&lt;&gt;"",INDEX(IHZ_HAZ_UNNUMBER,64,1)&lt;&gt;"",INDEX(IHZ_HAZ_TOTAMOUNT,64,1)&lt;&gt;"",INDEX(IHZ_HAZ_PACKINGGRO,64,1)&lt;&gt;"",INDEX(IHZ_HAZ_FLASHPOINT,64,1)&lt;&gt;"",INDEX(IHZ_HAZ_MARPOLCODE,64,1)&lt;&gt;"",INDEX(IHZ_HAZ_PACTYPE,64,1)&lt;&gt;"",INDEX(IHZ_HAZ_TOTALPACKA,64,1)&lt;&gt;"",INDEX(IHZ_HAZ_ADDITIONAL,64,1)&lt;&gt;"",INDEX(IHZ_HAZ_EMS,64,1)&lt;&gt;"",INDEX(IHZ_HAZ_SUBSIDIARY,64,1)&lt;&gt;"",INDEX(IHZ_HAZ_UNITTYPE,64,1)&lt;&gt;"",INDEX(IHZ_HAZ_TEUID,64,1)&lt;&gt;"",INDEX(IHZ_HAZ_LOCATION,64,1)&lt;&gt;"",INDEX(IHZ_HAZ_PACKAGES,64,1)&lt;&gt;"",INDEX(IHZ_HAZ_AMOUNT,64,1)&lt;&gt;"",),IF(OR(INDEX(IHZ_HAZ_DGCLASSIFI,64,1)="",INDEX(IHZ_HAZ_TEXTUALREF,64,1)="",INDEX(IHZ_HAZ_TOTAMOUNT,64,1)="",INDEX(IHZ_HAZ_DPGREF,64,1)="",INDEX(IHZ_HAZ_CONSIGNMENT,64,1)="",),FALSE,TRUE),TRUE)</f>
        <v>1</v>
      </c>
      <c r="H71" s="237" t="str">
        <f t="shared" si="1"/>
        <v>Row 64 - All mandatory fields must be given</v>
      </c>
      <c r="I71" s="236" t="s">
        <v>1853</v>
      </c>
      <c r="J71" s="52" t="b">
        <f>IF(OR(INDEX(OHZ_HAZ_CONSIGNMENT,64,1)&lt;&gt;"",INDEX(OHZ_HAZ_TRANSDOCID,64,1)&lt;&gt;"",INDEX(OHZ_HAZ_PORTOFLOADING,64,1)&lt;&gt;"",INDEX(OHZ_HAZ_PORTOFDISCHARGE,64,1)&lt;&gt;"",INDEX(OHZ_HAZ_DPGREF,64,1)&lt;&gt;"",INDEX(OHZ_HAZ_DGCLASSIFI,64,1)&lt;&gt;"",INDEX(OHZ_HAZ_TEXTUALREF,64,1)&lt;&gt;"",INDEX(OHZ_HAZ_IMOHAZARDC,64,1)&lt;&gt;"",INDEX(OHZ_HAZ_UNNUMBER,64,1)&lt;&gt;"",INDEX(OHZ_HAZ_TOTAMOUNT,64,1)&lt;&gt;"",INDEX(OHZ_HAZ_PACKINGGRO,64,1)&lt;&gt;"",INDEX(OHZ_HAZ_FLASHPOINT,64,1)&lt;&gt;"",INDEX(OHZ_HAZ_MARPOLCODE,64,1)&lt;&gt;"",INDEX(OHZ_HAZ_PACTYPE,64,1)&lt;&gt;"",INDEX(OHZ_HAZ_TOTALPACKA,64,1)&lt;&gt;"",INDEX(OHZ_HAZ_ADDITIONAL,64,1)&lt;&gt;"",INDEX(OHZ_HAZ_EMS,64,1)&lt;&gt;"",INDEX(OHZ_HAZ_SUBSIDIARY,64,1)&lt;&gt;"",INDEX(OHZ_HAZ_UNITTYPE,64,1)&lt;&gt;"",INDEX(OHZ_HAZ_TEUID,64,1)&lt;&gt;"",INDEX(OHZ_HAZ_LOCATION,64,1)&lt;&gt;"",INDEX(OHZ_HAZ_PACKAGES,64,1)&lt;&gt;"",INDEX(OHZ_HAZ_AMOUNT,64,1)&lt;&gt;"",),IF(OR(INDEX(OHZ_HAZ_DGCLASSIFI,64,1)="",INDEX(OHZ_HAZ_TEXTUALREF,64,1)="",INDEX(OHZ_HAZ_TOTAMOUNT,64,1)="",INDEX(OHZ_HAZ_DPGREF,64,1)="",INDEX(OHZ_HAZ_CONSIGNMENT,64,1)="",),FALSE,TRUE),TRUE)</f>
        <v>1</v>
      </c>
      <c r="K71" s="237" t="str">
        <f t="shared" si="2"/>
        <v>Row 64 - All mandatory fields must be given</v>
      </c>
      <c r="L71" s="236" t="s">
        <v>1853</v>
      </c>
      <c r="R71" s="52"/>
      <c r="S71" s="52"/>
      <c r="T71" s="52" t="s">
        <v>2156</v>
      </c>
      <c r="V71" s="52"/>
    </row>
    <row r="72" spans="1:22">
      <c r="A72" s="313" t="b">
        <f>OR(LEN(INDEX(SEC_LAST_PORTFAC,8,1))=4,LEN(INDEX(SEC_LAST_PORTFAC,8,1))=0)</f>
        <v>1</v>
      </c>
      <c r="B72" s="313" t="s">
        <v>2072</v>
      </c>
      <c r="F72" s="236" t="s">
        <v>1853</v>
      </c>
      <c r="G72" s="250" t="b">
        <f>IF(OR(INDEX(IHZ_HAZ_CONSIGNMENT,65,1)&lt;&gt;"",INDEX(IHZ_HAZ_TRANSDOCID,65,1)&lt;&gt;"",INDEX(IHZ_HAZ_PORTOFLOADING,65,1)&lt;&gt;"",INDEX(IHZ_HAZ_PORTOFDISCHARGE,65,1)&lt;&gt;"",INDEX(IHZ_HAZ_DPGREF,65,1)&lt;&gt;"",INDEX(IHZ_HAZ_DGCLASSIFI,65,1)&lt;&gt;"",INDEX(IHZ_HAZ_TEXTUALREF,65,1)&lt;&gt;"",INDEX(IHZ_HAZ_IMOHAZARDC,65,1)&lt;&gt;"",INDEX(IHZ_HAZ_UNNUMBER,65,1)&lt;&gt;"",INDEX(IHZ_HAZ_TOTAMOUNT,65,1)&lt;&gt;"",INDEX(IHZ_HAZ_PACKINGGRO,65,1)&lt;&gt;"",INDEX(IHZ_HAZ_FLASHPOINT,65,1)&lt;&gt;"",INDEX(IHZ_HAZ_MARPOLCODE,65,1)&lt;&gt;"",INDEX(IHZ_HAZ_PACTYPE,65,1)&lt;&gt;"",INDEX(IHZ_HAZ_TOTALPACKA,65,1)&lt;&gt;"",INDEX(IHZ_HAZ_ADDITIONAL,65,1)&lt;&gt;"",INDEX(IHZ_HAZ_EMS,65,1)&lt;&gt;"",INDEX(IHZ_HAZ_SUBSIDIARY,65,1)&lt;&gt;"",INDEX(IHZ_HAZ_UNITTYPE,65,1)&lt;&gt;"",INDEX(IHZ_HAZ_TEUID,65,1)&lt;&gt;"",INDEX(IHZ_HAZ_LOCATION,65,1)&lt;&gt;"",INDEX(IHZ_HAZ_PACKAGES,65,1)&lt;&gt;"",INDEX(IHZ_HAZ_AMOUNT,65,1)&lt;&gt;"",),IF(OR(INDEX(IHZ_HAZ_DGCLASSIFI,65,1)="",INDEX(IHZ_HAZ_TEXTUALREF,65,1)="",INDEX(IHZ_HAZ_TOTAMOUNT,65,1)="",INDEX(IHZ_HAZ_DPGREF,65,1)="",INDEX(IHZ_HAZ_CONSIGNMENT,65,1)="",),FALSE,TRUE),TRUE)</f>
        <v>1</v>
      </c>
      <c r="H72" s="237" t="str">
        <f t="shared" si="1"/>
        <v>Row 65 - All mandatory fields must be given</v>
      </c>
      <c r="I72" s="236" t="s">
        <v>1853</v>
      </c>
      <c r="J72" s="52" t="b">
        <f>IF(OR(INDEX(OHZ_HAZ_CONSIGNMENT,65,1)&lt;&gt;"",INDEX(OHZ_HAZ_TRANSDOCID,65,1)&lt;&gt;"",INDEX(OHZ_HAZ_PORTOFLOADING,65,1)&lt;&gt;"",INDEX(OHZ_HAZ_PORTOFDISCHARGE,65,1)&lt;&gt;"",INDEX(OHZ_HAZ_DPGREF,65,1)&lt;&gt;"",INDEX(OHZ_HAZ_DGCLASSIFI,65,1)&lt;&gt;"",INDEX(OHZ_HAZ_TEXTUALREF,65,1)&lt;&gt;"",INDEX(OHZ_HAZ_IMOHAZARDC,65,1)&lt;&gt;"",INDEX(OHZ_HAZ_UNNUMBER,65,1)&lt;&gt;"",INDEX(OHZ_HAZ_TOTAMOUNT,65,1)&lt;&gt;"",INDEX(OHZ_HAZ_PACKINGGRO,65,1)&lt;&gt;"",INDEX(OHZ_HAZ_FLASHPOINT,65,1)&lt;&gt;"",INDEX(OHZ_HAZ_MARPOLCODE,65,1)&lt;&gt;"",INDEX(OHZ_HAZ_PACTYPE,65,1)&lt;&gt;"",INDEX(OHZ_HAZ_TOTALPACKA,65,1)&lt;&gt;"",INDEX(OHZ_HAZ_ADDITIONAL,65,1)&lt;&gt;"",INDEX(OHZ_HAZ_EMS,65,1)&lt;&gt;"",INDEX(OHZ_HAZ_SUBSIDIARY,65,1)&lt;&gt;"",INDEX(OHZ_HAZ_UNITTYPE,65,1)&lt;&gt;"",INDEX(OHZ_HAZ_TEUID,65,1)&lt;&gt;"",INDEX(OHZ_HAZ_LOCATION,65,1)&lt;&gt;"",INDEX(OHZ_HAZ_PACKAGES,65,1)&lt;&gt;"",INDEX(OHZ_HAZ_AMOUNT,65,1)&lt;&gt;"",),IF(OR(INDEX(OHZ_HAZ_DGCLASSIFI,65,1)="",INDEX(OHZ_HAZ_TEXTUALREF,65,1)="",INDEX(OHZ_HAZ_TOTAMOUNT,65,1)="",INDEX(OHZ_HAZ_DPGREF,65,1)="",INDEX(OHZ_HAZ_CONSIGNMENT,65,1)="",),FALSE,TRUE),TRUE)</f>
        <v>1</v>
      </c>
      <c r="K72" s="237" t="str">
        <f t="shared" si="2"/>
        <v>Row 65 - All mandatory fields must be given</v>
      </c>
      <c r="L72" s="236" t="s">
        <v>1853</v>
      </c>
      <c r="R72" s="52"/>
      <c r="S72" s="52"/>
      <c r="T72" s="52" t="s">
        <v>2157</v>
      </c>
      <c r="V72" s="52"/>
    </row>
    <row r="73" spans="1:22">
      <c r="A73" s="313" t="b">
        <f>OR(LEN(INDEX(SEC_LAST_PORTFAC,9,1))=4,LEN(INDEX(SEC_LAST_PORTFAC,9,1))=0)</f>
        <v>1</v>
      </c>
      <c r="B73" s="313" t="s">
        <v>2073</v>
      </c>
      <c r="F73" s="236" t="s">
        <v>1853</v>
      </c>
      <c r="G73" s="250" t="b">
        <f>IF(OR(INDEX(IHZ_HAZ_CONSIGNMENT,66,1)&lt;&gt;"",INDEX(IHZ_HAZ_TRANSDOCID,66,1)&lt;&gt;"",INDEX(IHZ_HAZ_PORTOFLOADING,66,1)&lt;&gt;"",INDEX(IHZ_HAZ_PORTOFDISCHARGE,66,1)&lt;&gt;"",INDEX(IHZ_HAZ_DPGREF,66,1)&lt;&gt;"",INDEX(IHZ_HAZ_DGCLASSIFI,66,1)&lt;&gt;"",INDEX(IHZ_HAZ_TEXTUALREF,66,1)&lt;&gt;"",INDEX(IHZ_HAZ_IMOHAZARDC,66,1)&lt;&gt;"",INDEX(IHZ_HAZ_UNNUMBER,66,1)&lt;&gt;"",INDEX(IHZ_HAZ_TOTAMOUNT,66,1)&lt;&gt;"",INDEX(IHZ_HAZ_PACKINGGRO,66,1)&lt;&gt;"",INDEX(IHZ_HAZ_FLASHPOINT,66,1)&lt;&gt;"",INDEX(IHZ_HAZ_MARPOLCODE,66,1)&lt;&gt;"",INDEX(IHZ_HAZ_PACTYPE,66,1)&lt;&gt;"",INDEX(IHZ_HAZ_TOTALPACKA,66,1)&lt;&gt;"",INDEX(IHZ_HAZ_ADDITIONAL,66,1)&lt;&gt;"",INDEX(IHZ_HAZ_EMS,66,1)&lt;&gt;"",INDEX(IHZ_HAZ_SUBSIDIARY,66,1)&lt;&gt;"",INDEX(IHZ_HAZ_UNITTYPE,66,1)&lt;&gt;"",INDEX(IHZ_HAZ_TEUID,66,1)&lt;&gt;"",INDEX(IHZ_HAZ_LOCATION,66,1)&lt;&gt;"",INDEX(IHZ_HAZ_PACKAGES,66,1)&lt;&gt;"",INDEX(IHZ_HAZ_AMOUNT,66,1)&lt;&gt;"",),IF(OR(INDEX(IHZ_HAZ_DGCLASSIFI,66,1)="",INDEX(IHZ_HAZ_TEXTUALREF,66,1)="",INDEX(IHZ_HAZ_TOTAMOUNT,66,1)="",INDEX(IHZ_HAZ_DPGREF,66,1)="",INDEX(IHZ_HAZ_CONSIGNMENT,66,1)="",),FALSE,TRUE),TRUE)</f>
        <v>1</v>
      </c>
      <c r="H73" s="237" t="str">
        <f t="shared" ref="H73:H136" si="3">T66&amp;$V$1</f>
        <v>Row 66 - All mandatory fields must be given</v>
      </c>
      <c r="I73" s="236" t="s">
        <v>1853</v>
      </c>
      <c r="J73" s="52" t="b">
        <f>IF(OR(INDEX(OHZ_HAZ_CONSIGNMENT,66,1)&lt;&gt;"",INDEX(OHZ_HAZ_TRANSDOCID,66,1)&lt;&gt;"",INDEX(OHZ_HAZ_PORTOFLOADING,66,1)&lt;&gt;"",INDEX(OHZ_HAZ_PORTOFDISCHARGE,66,1)&lt;&gt;"",INDEX(OHZ_HAZ_DPGREF,66,1)&lt;&gt;"",INDEX(OHZ_HAZ_DGCLASSIFI,66,1)&lt;&gt;"",INDEX(OHZ_HAZ_TEXTUALREF,66,1)&lt;&gt;"",INDEX(OHZ_HAZ_IMOHAZARDC,66,1)&lt;&gt;"",INDEX(OHZ_HAZ_UNNUMBER,66,1)&lt;&gt;"",INDEX(OHZ_HAZ_TOTAMOUNT,66,1)&lt;&gt;"",INDEX(OHZ_HAZ_PACKINGGRO,66,1)&lt;&gt;"",INDEX(OHZ_HAZ_FLASHPOINT,66,1)&lt;&gt;"",INDEX(OHZ_HAZ_MARPOLCODE,66,1)&lt;&gt;"",INDEX(OHZ_HAZ_PACTYPE,66,1)&lt;&gt;"",INDEX(OHZ_HAZ_TOTALPACKA,66,1)&lt;&gt;"",INDEX(OHZ_HAZ_ADDITIONAL,66,1)&lt;&gt;"",INDEX(OHZ_HAZ_EMS,66,1)&lt;&gt;"",INDEX(OHZ_HAZ_SUBSIDIARY,66,1)&lt;&gt;"",INDEX(OHZ_HAZ_UNITTYPE,66,1)&lt;&gt;"",INDEX(OHZ_HAZ_TEUID,66,1)&lt;&gt;"",INDEX(OHZ_HAZ_LOCATION,66,1)&lt;&gt;"",INDEX(OHZ_HAZ_PACKAGES,66,1)&lt;&gt;"",INDEX(OHZ_HAZ_AMOUNT,66,1)&lt;&gt;"",),IF(OR(INDEX(OHZ_HAZ_DGCLASSIFI,66,1)="",INDEX(OHZ_HAZ_TEXTUALREF,66,1)="",INDEX(OHZ_HAZ_TOTAMOUNT,66,1)="",INDEX(OHZ_HAZ_DPGREF,66,1)="",INDEX(OHZ_HAZ_CONSIGNMENT,66,1)="",),FALSE,TRUE),TRUE)</f>
        <v>1</v>
      </c>
      <c r="K73" s="237" t="str">
        <f t="shared" ref="K73:K136" si="4">T66&amp;$V$1</f>
        <v>Row 66 - All mandatory fields must be given</v>
      </c>
      <c r="L73" s="236" t="s">
        <v>1853</v>
      </c>
      <c r="R73" s="52"/>
      <c r="S73" s="52"/>
      <c r="T73" s="52" t="s">
        <v>2158</v>
      </c>
      <c r="V73" s="52"/>
    </row>
    <row r="74" spans="1:22">
      <c r="A74" s="313" t="b">
        <f>OR(LEN(INDEX(SEC_LAST_PORTFAC,10,1))=4,LEN(INDEX(SEC_LAST_PORTFAC,10,1))=0)</f>
        <v>1</v>
      </c>
      <c r="B74" s="313" t="s">
        <v>2074</v>
      </c>
      <c r="F74" s="236" t="s">
        <v>1853</v>
      </c>
      <c r="G74" s="250" t="b">
        <f>IF(OR(INDEX(IHZ_HAZ_CONSIGNMENT,67,1)&lt;&gt;"",INDEX(IHZ_HAZ_TRANSDOCID,67,1)&lt;&gt;"",INDEX(IHZ_HAZ_PORTOFLOADING,67,1)&lt;&gt;"",INDEX(IHZ_HAZ_PORTOFDISCHARGE,67,1)&lt;&gt;"",INDEX(IHZ_HAZ_DPGREF,67,1)&lt;&gt;"",INDEX(IHZ_HAZ_DGCLASSIFI,67,1)&lt;&gt;"",INDEX(IHZ_HAZ_TEXTUALREF,67,1)&lt;&gt;"",INDEX(IHZ_HAZ_IMOHAZARDC,67,1)&lt;&gt;"",INDEX(IHZ_HAZ_UNNUMBER,67,1)&lt;&gt;"",INDEX(IHZ_HAZ_TOTAMOUNT,67,1)&lt;&gt;"",INDEX(IHZ_HAZ_PACKINGGRO,67,1)&lt;&gt;"",INDEX(IHZ_HAZ_FLASHPOINT,67,1)&lt;&gt;"",INDEX(IHZ_HAZ_MARPOLCODE,67,1)&lt;&gt;"",INDEX(IHZ_HAZ_PACTYPE,67,1)&lt;&gt;"",INDEX(IHZ_HAZ_TOTALPACKA,67,1)&lt;&gt;"",INDEX(IHZ_HAZ_ADDITIONAL,67,1)&lt;&gt;"",INDEX(IHZ_HAZ_EMS,67,1)&lt;&gt;"",INDEX(IHZ_HAZ_SUBSIDIARY,67,1)&lt;&gt;"",INDEX(IHZ_HAZ_UNITTYPE,67,1)&lt;&gt;"",INDEX(IHZ_HAZ_TEUID,67,1)&lt;&gt;"",INDEX(IHZ_HAZ_LOCATION,67,1)&lt;&gt;"",INDEX(IHZ_HAZ_PACKAGES,67,1)&lt;&gt;"",INDEX(IHZ_HAZ_AMOUNT,67,1)&lt;&gt;"",),IF(OR(INDEX(IHZ_HAZ_DGCLASSIFI,67,1)="",INDEX(IHZ_HAZ_TEXTUALREF,67,1)="",INDEX(IHZ_HAZ_TOTAMOUNT,67,1)="",INDEX(IHZ_HAZ_DPGREF,67,1)="",INDEX(IHZ_HAZ_CONSIGNMENT,67,1)="",),FALSE,TRUE),TRUE)</f>
        <v>1</v>
      </c>
      <c r="H74" s="237" t="str">
        <f t="shared" si="3"/>
        <v>Row 67 - All mandatory fields must be given</v>
      </c>
      <c r="I74" s="236" t="s">
        <v>1853</v>
      </c>
      <c r="J74" s="52" t="b">
        <f>IF(OR(INDEX(OHZ_HAZ_CONSIGNMENT,67,1)&lt;&gt;"",INDEX(OHZ_HAZ_TRANSDOCID,67,1)&lt;&gt;"",INDEX(OHZ_HAZ_PORTOFLOADING,67,1)&lt;&gt;"",INDEX(OHZ_HAZ_PORTOFDISCHARGE,67,1)&lt;&gt;"",INDEX(OHZ_HAZ_DPGREF,67,1)&lt;&gt;"",INDEX(OHZ_HAZ_DGCLASSIFI,67,1)&lt;&gt;"",INDEX(OHZ_HAZ_TEXTUALREF,67,1)&lt;&gt;"",INDEX(OHZ_HAZ_IMOHAZARDC,67,1)&lt;&gt;"",INDEX(OHZ_HAZ_UNNUMBER,67,1)&lt;&gt;"",INDEX(OHZ_HAZ_TOTAMOUNT,67,1)&lt;&gt;"",INDEX(OHZ_HAZ_PACKINGGRO,67,1)&lt;&gt;"",INDEX(OHZ_HAZ_FLASHPOINT,67,1)&lt;&gt;"",INDEX(OHZ_HAZ_MARPOLCODE,67,1)&lt;&gt;"",INDEX(OHZ_HAZ_PACTYPE,67,1)&lt;&gt;"",INDEX(OHZ_HAZ_TOTALPACKA,67,1)&lt;&gt;"",INDEX(OHZ_HAZ_ADDITIONAL,67,1)&lt;&gt;"",INDEX(OHZ_HAZ_EMS,67,1)&lt;&gt;"",INDEX(OHZ_HAZ_SUBSIDIARY,67,1)&lt;&gt;"",INDEX(OHZ_HAZ_UNITTYPE,67,1)&lt;&gt;"",INDEX(OHZ_HAZ_TEUID,67,1)&lt;&gt;"",INDEX(OHZ_HAZ_LOCATION,67,1)&lt;&gt;"",INDEX(OHZ_HAZ_PACKAGES,67,1)&lt;&gt;"",INDEX(OHZ_HAZ_AMOUNT,67,1)&lt;&gt;"",),IF(OR(INDEX(OHZ_HAZ_DGCLASSIFI,67,1)="",INDEX(OHZ_HAZ_TEXTUALREF,67,1)="",INDEX(OHZ_HAZ_TOTAMOUNT,67,1)="",INDEX(OHZ_HAZ_DPGREF,67,1)="",INDEX(OHZ_HAZ_CONSIGNMENT,67,1)="",),FALSE,TRUE),TRUE)</f>
        <v>1</v>
      </c>
      <c r="K74" s="237" t="str">
        <f t="shared" si="4"/>
        <v>Row 67 - All mandatory fields must be given</v>
      </c>
      <c r="L74" s="236" t="s">
        <v>1853</v>
      </c>
      <c r="R74" s="52"/>
      <c r="S74" s="52"/>
      <c r="T74" s="52" t="s">
        <v>2159</v>
      </c>
      <c r="V74" s="52"/>
    </row>
    <row r="75" spans="1:22">
      <c r="A75" s="313" t="b">
        <f>OR(INDEX(SEC_LAST_SECLEVEL,1,1)="",COUNTIF(REF_SECURITYLEVELS_OPTIONS,INDEX(SEC_LAST_SECLEVEL,1,1))=1)</f>
        <v>1</v>
      </c>
      <c r="B75" s="341" t="s">
        <v>2075</v>
      </c>
      <c r="F75" s="236" t="s">
        <v>1853</v>
      </c>
      <c r="G75" s="250" t="b">
        <f>IF(OR(INDEX(IHZ_HAZ_CONSIGNMENT,68,1)&lt;&gt;"",INDEX(IHZ_HAZ_TRANSDOCID,68,1)&lt;&gt;"",INDEX(IHZ_HAZ_PORTOFLOADING,68,1)&lt;&gt;"",INDEX(IHZ_HAZ_PORTOFDISCHARGE,68,1)&lt;&gt;"",INDEX(IHZ_HAZ_DPGREF,68,1)&lt;&gt;"",INDEX(IHZ_HAZ_DGCLASSIFI,68,1)&lt;&gt;"",INDEX(IHZ_HAZ_TEXTUALREF,68,1)&lt;&gt;"",INDEX(IHZ_HAZ_IMOHAZARDC,68,1)&lt;&gt;"",INDEX(IHZ_HAZ_UNNUMBER,68,1)&lt;&gt;"",INDEX(IHZ_HAZ_TOTAMOUNT,68,1)&lt;&gt;"",INDEX(IHZ_HAZ_PACKINGGRO,68,1)&lt;&gt;"",INDEX(IHZ_HAZ_FLASHPOINT,68,1)&lt;&gt;"",INDEX(IHZ_HAZ_MARPOLCODE,68,1)&lt;&gt;"",INDEX(IHZ_HAZ_PACTYPE,68,1)&lt;&gt;"",INDEX(IHZ_HAZ_TOTALPACKA,68,1)&lt;&gt;"",INDEX(IHZ_HAZ_ADDITIONAL,68,1)&lt;&gt;"",INDEX(IHZ_HAZ_EMS,68,1)&lt;&gt;"",INDEX(IHZ_HAZ_SUBSIDIARY,68,1)&lt;&gt;"",INDEX(IHZ_HAZ_UNITTYPE,68,1)&lt;&gt;"",INDEX(IHZ_HAZ_TEUID,68,1)&lt;&gt;"",INDEX(IHZ_HAZ_LOCATION,68,1)&lt;&gt;"",INDEX(IHZ_HAZ_PACKAGES,68,1)&lt;&gt;"",INDEX(IHZ_HAZ_AMOUNT,68,1)&lt;&gt;"",),IF(OR(INDEX(IHZ_HAZ_DGCLASSIFI,68,1)="",INDEX(IHZ_HAZ_TEXTUALREF,68,1)="",INDEX(IHZ_HAZ_TOTAMOUNT,68,1)="",INDEX(IHZ_HAZ_DPGREF,68,1)="",INDEX(IHZ_HAZ_CONSIGNMENT,68,1)="",),FALSE,TRUE),TRUE)</f>
        <v>1</v>
      </c>
      <c r="H75" s="237" t="str">
        <f t="shared" si="3"/>
        <v>Row 68 - All mandatory fields must be given</v>
      </c>
      <c r="I75" s="236" t="s">
        <v>1853</v>
      </c>
      <c r="J75" s="52" t="b">
        <f>IF(OR(INDEX(OHZ_HAZ_CONSIGNMENT,68,1)&lt;&gt;"",INDEX(OHZ_HAZ_TRANSDOCID,68,1)&lt;&gt;"",INDEX(OHZ_HAZ_PORTOFLOADING,68,1)&lt;&gt;"",INDEX(OHZ_HAZ_PORTOFDISCHARGE,68,1)&lt;&gt;"",INDEX(OHZ_HAZ_DPGREF,68,1)&lt;&gt;"",INDEX(OHZ_HAZ_DGCLASSIFI,68,1)&lt;&gt;"",INDEX(OHZ_HAZ_TEXTUALREF,68,1)&lt;&gt;"",INDEX(OHZ_HAZ_IMOHAZARDC,68,1)&lt;&gt;"",INDEX(OHZ_HAZ_UNNUMBER,68,1)&lt;&gt;"",INDEX(OHZ_HAZ_TOTAMOUNT,68,1)&lt;&gt;"",INDEX(OHZ_HAZ_PACKINGGRO,68,1)&lt;&gt;"",INDEX(OHZ_HAZ_FLASHPOINT,68,1)&lt;&gt;"",INDEX(OHZ_HAZ_MARPOLCODE,68,1)&lt;&gt;"",INDEX(OHZ_HAZ_PACTYPE,68,1)&lt;&gt;"",INDEX(OHZ_HAZ_TOTALPACKA,68,1)&lt;&gt;"",INDEX(OHZ_HAZ_ADDITIONAL,68,1)&lt;&gt;"",INDEX(OHZ_HAZ_EMS,68,1)&lt;&gt;"",INDEX(OHZ_HAZ_SUBSIDIARY,68,1)&lt;&gt;"",INDEX(OHZ_HAZ_UNITTYPE,68,1)&lt;&gt;"",INDEX(OHZ_HAZ_TEUID,68,1)&lt;&gt;"",INDEX(OHZ_HAZ_LOCATION,68,1)&lt;&gt;"",INDEX(OHZ_HAZ_PACKAGES,68,1)&lt;&gt;"",INDEX(OHZ_HAZ_AMOUNT,68,1)&lt;&gt;"",),IF(OR(INDEX(OHZ_HAZ_DGCLASSIFI,68,1)="",INDEX(OHZ_HAZ_TEXTUALREF,68,1)="",INDEX(OHZ_HAZ_TOTAMOUNT,68,1)="",INDEX(OHZ_HAZ_DPGREF,68,1)="",INDEX(OHZ_HAZ_CONSIGNMENT,68,1)="",),FALSE,TRUE),TRUE)</f>
        <v>1</v>
      </c>
      <c r="K75" s="237" t="str">
        <f t="shared" si="4"/>
        <v>Row 68 - All mandatory fields must be given</v>
      </c>
      <c r="L75" s="236" t="s">
        <v>1853</v>
      </c>
      <c r="R75" s="52"/>
      <c r="S75" s="52"/>
      <c r="T75" s="52" t="s">
        <v>2160</v>
      </c>
      <c r="V75" s="52"/>
    </row>
    <row r="76" spans="1:22">
      <c r="A76" s="313" t="b">
        <f>OR(INDEX(SEC_LAST_MEASURESYORN,1,1)="None",INDEX(SEC_LAST_MEASURESYORN,1,1)="Yes")</f>
        <v>1</v>
      </c>
      <c r="B76" s="341" t="s">
        <v>2076</v>
      </c>
      <c r="F76" s="236" t="s">
        <v>1853</v>
      </c>
      <c r="G76" s="250" t="b">
        <f>IF(OR(INDEX(IHZ_HAZ_CONSIGNMENT,69,1)&lt;&gt;"",INDEX(IHZ_HAZ_TRANSDOCID,69,1)&lt;&gt;"",INDEX(IHZ_HAZ_PORTOFLOADING,69,1)&lt;&gt;"",INDEX(IHZ_HAZ_PORTOFDISCHARGE,69,1)&lt;&gt;"",INDEX(IHZ_HAZ_DPGREF,69,1)&lt;&gt;"",INDEX(IHZ_HAZ_DGCLASSIFI,69,1)&lt;&gt;"",INDEX(IHZ_HAZ_TEXTUALREF,69,1)&lt;&gt;"",INDEX(IHZ_HAZ_IMOHAZARDC,69,1)&lt;&gt;"",INDEX(IHZ_HAZ_UNNUMBER,69,1)&lt;&gt;"",INDEX(IHZ_HAZ_TOTAMOUNT,69,1)&lt;&gt;"",INDEX(IHZ_HAZ_PACKINGGRO,69,1)&lt;&gt;"",INDEX(IHZ_HAZ_FLASHPOINT,69,1)&lt;&gt;"",INDEX(IHZ_HAZ_MARPOLCODE,69,1)&lt;&gt;"",INDEX(IHZ_HAZ_PACTYPE,69,1)&lt;&gt;"",INDEX(IHZ_HAZ_TOTALPACKA,69,1)&lt;&gt;"",INDEX(IHZ_HAZ_ADDITIONAL,69,1)&lt;&gt;"",INDEX(IHZ_HAZ_EMS,69,1)&lt;&gt;"",INDEX(IHZ_HAZ_SUBSIDIARY,69,1)&lt;&gt;"",INDEX(IHZ_HAZ_UNITTYPE,69,1)&lt;&gt;"",INDEX(IHZ_HAZ_TEUID,69,1)&lt;&gt;"",INDEX(IHZ_HAZ_LOCATION,69,1)&lt;&gt;"",INDEX(IHZ_HAZ_PACKAGES,69,1)&lt;&gt;"",INDEX(IHZ_HAZ_AMOUNT,69,1)&lt;&gt;"",),IF(OR(INDEX(IHZ_HAZ_DGCLASSIFI,69,1)="",INDEX(IHZ_HAZ_TEXTUALREF,69,1)="",INDEX(IHZ_HAZ_TOTAMOUNT,69,1)="",INDEX(IHZ_HAZ_DPGREF,69,1)="",INDEX(IHZ_HAZ_CONSIGNMENT,69,1)="",),FALSE,TRUE),TRUE)</f>
        <v>1</v>
      </c>
      <c r="H76" s="237" t="str">
        <f t="shared" si="3"/>
        <v>Row 69 - All mandatory fields must be given</v>
      </c>
      <c r="I76" s="236" t="s">
        <v>1853</v>
      </c>
      <c r="J76" s="52" t="b">
        <f>IF(OR(INDEX(OHZ_HAZ_CONSIGNMENT,69,1)&lt;&gt;"",INDEX(OHZ_HAZ_TRANSDOCID,69,1)&lt;&gt;"",INDEX(OHZ_HAZ_PORTOFLOADING,69,1)&lt;&gt;"",INDEX(OHZ_HAZ_PORTOFDISCHARGE,69,1)&lt;&gt;"",INDEX(OHZ_HAZ_DPGREF,69,1)&lt;&gt;"",INDEX(OHZ_HAZ_DGCLASSIFI,69,1)&lt;&gt;"",INDEX(OHZ_HAZ_TEXTUALREF,69,1)&lt;&gt;"",INDEX(OHZ_HAZ_IMOHAZARDC,69,1)&lt;&gt;"",INDEX(OHZ_HAZ_UNNUMBER,69,1)&lt;&gt;"",INDEX(OHZ_HAZ_TOTAMOUNT,69,1)&lt;&gt;"",INDEX(OHZ_HAZ_PACKINGGRO,69,1)&lt;&gt;"",INDEX(OHZ_HAZ_FLASHPOINT,69,1)&lt;&gt;"",INDEX(OHZ_HAZ_MARPOLCODE,69,1)&lt;&gt;"",INDEX(OHZ_HAZ_PACTYPE,69,1)&lt;&gt;"",INDEX(OHZ_HAZ_TOTALPACKA,69,1)&lt;&gt;"",INDEX(OHZ_HAZ_ADDITIONAL,69,1)&lt;&gt;"",INDEX(OHZ_HAZ_EMS,69,1)&lt;&gt;"",INDEX(OHZ_HAZ_SUBSIDIARY,69,1)&lt;&gt;"",INDEX(OHZ_HAZ_UNITTYPE,69,1)&lt;&gt;"",INDEX(OHZ_HAZ_TEUID,69,1)&lt;&gt;"",INDEX(OHZ_HAZ_LOCATION,69,1)&lt;&gt;"",INDEX(OHZ_HAZ_PACKAGES,69,1)&lt;&gt;"",INDEX(OHZ_HAZ_AMOUNT,69,1)&lt;&gt;"",),IF(OR(INDEX(OHZ_HAZ_DGCLASSIFI,69,1)="",INDEX(OHZ_HAZ_TEXTUALREF,69,1)="",INDEX(OHZ_HAZ_TOTAMOUNT,69,1)="",INDEX(OHZ_HAZ_DPGREF,69,1)="",INDEX(OHZ_HAZ_CONSIGNMENT,69,1)="",),FALSE,TRUE),TRUE)</f>
        <v>1</v>
      </c>
      <c r="K76" s="237" t="str">
        <f t="shared" si="4"/>
        <v>Row 69 - All mandatory fields must be given</v>
      </c>
      <c r="L76" s="236" t="s">
        <v>1853</v>
      </c>
      <c r="R76" s="52"/>
      <c r="S76" s="52"/>
      <c r="T76" s="52" t="s">
        <v>2161</v>
      </c>
      <c r="V76" s="52"/>
    </row>
    <row r="77" spans="1:22">
      <c r="A77" s="313" t="b">
        <f>SUMPRODUCT(--(LEN(SEC_LAST_SECMEASURE))&gt;256)=0</f>
        <v>1</v>
      </c>
      <c r="B77" s="341" t="s">
        <v>2077</v>
      </c>
      <c r="F77" s="236" t="s">
        <v>1853</v>
      </c>
      <c r="G77" s="250" t="b">
        <f>IF(OR(INDEX(IHZ_HAZ_CONSIGNMENT,70,1)&lt;&gt;"",INDEX(IHZ_HAZ_TRANSDOCID,70,1)&lt;&gt;"",INDEX(IHZ_HAZ_PORTOFLOADING,70,1)&lt;&gt;"",INDEX(IHZ_HAZ_PORTOFDISCHARGE,70,1)&lt;&gt;"",INDEX(IHZ_HAZ_DPGREF,70,1)&lt;&gt;"",INDEX(IHZ_HAZ_DGCLASSIFI,70,1)&lt;&gt;"",INDEX(IHZ_HAZ_TEXTUALREF,70,1)&lt;&gt;"",INDEX(IHZ_HAZ_IMOHAZARDC,70,1)&lt;&gt;"",INDEX(IHZ_HAZ_UNNUMBER,70,1)&lt;&gt;"",INDEX(IHZ_HAZ_TOTAMOUNT,70,1)&lt;&gt;"",INDEX(IHZ_HAZ_PACKINGGRO,70,1)&lt;&gt;"",INDEX(IHZ_HAZ_FLASHPOINT,70,1)&lt;&gt;"",INDEX(IHZ_HAZ_MARPOLCODE,70,1)&lt;&gt;"",INDEX(IHZ_HAZ_PACTYPE,70,1)&lt;&gt;"",INDEX(IHZ_HAZ_TOTALPACKA,70,1)&lt;&gt;"",INDEX(IHZ_HAZ_ADDITIONAL,70,1)&lt;&gt;"",INDEX(IHZ_HAZ_EMS,70,1)&lt;&gt;"",INDEX(IHZ_HAZ_SUBSIDIARY,70,1)&lt;&gt;"",INDEX(IHZ_HAZ_UNITTYPE,70,1)&lt;&gt;"",INDEX(IHZ_HAZ_TEUID,70,1)&lt;&gt;"",INDEX(IHZ_HAZ_LOCATION,70,1)&lt;&gt;"",INDEX(IHZ_HAZ_PACKAGES,70,1)&lt;&gt;"",INDEX(IHZ_HAZ_AMOUNT,70,1)&lt;&gt;"",),IF(OR(INDEX(IHZ_HAZ_DGCLASSIFI,70,1)="",INDEX(IHZ_HAZ_TEXTUALREF,70,1)="",INDEX(IHZ_HAZ_TOTAMOUNT,70,1)="",INDEX(IHZ_HAZ_DPGREF,70,1)="",INDEX(IHZ_HAZ_CONSIGNMENT,70,1)="",),FALSE,TRUE),TRUE)</f>
        <v>1</v>
      </c>
      <c r="H77" s="237" t="str">
        <f t="shared" si="3"/>
        <v>Row 70 - All mandatory fields must be given</v>
      </c>
      <c r="I77" s="236" t="s">
        <v>1853</v>
      </c>
      <c r="J77" s="52" t="b">
        <f>IF(OR(INDEX(OHZ_HAZ_CONSIGNMENT,70,1)&lt;&gt;"",INDEX(OHZ_HAZ_TRANSDOCID,70,1)&lt;&gt;"",INDEX(OHZ_HAZ_PORTOFLOADING,70,1)&lt;&gt;"",INDEX(OHZ_HAZ_PORTOFDISCHARGE,70,1)&lt;&gt;"",INDEX(OHZ_HAZ_DPGREF,70,1)&lt;&gt;"",INDEX(OHZ_HAZ_DGCLASSIFI,70,1)&lt;&gt;"",INDEX(OHZ_HAZ_TEXTUALREF,70,1)&lt;&gt;"",INDEX(OHZ_HAZ_IMOHAZARDC,70,1)&lt;&gt;"",INDEX(OHZ_HAZ_UNNUMBER,70,1)&lt;&gt;"",INDEX(OHZ_HAZ_TOTAMOUNT,70,1)&lt;&gt;"",INDEX(OHZ_HAZ_PACKINGGRO,70,1)&lt;&gt;"",INDEX(OHZ_HAZ_FLASHPOINT,70,1)&lt;&gt;"",INDEX(OHZ_HAZ_MARPOLCODE,70,1)&lt;&gt;"",INDEX(OHZ_HAZ_PACTYPE,70,1)&lt;&gt;"",INDEX(OHZ_HAZ_TOTALPACKA,70,1)&lt;&gt;"",INDEX(OHZ_HAZ_ADDITIONAL,70,1)&lt;&gt;"",INDEX(OHZ_HAZ_EMS,70,1)&lt;&gt;"",INDEX(OHZ_HAZ_SUBSIDIARY,70,1)&lt;&gt;"",INDEX(OHZ_HAZ_UNITTYPE,70,1)&lt;&gt;"",INDEX(OHZ_HAZ_TEUID,70,1)&lt;&gt;"",INDEX(OHZ_HAZ_LOCATION,70,1)&lt;&gt;"",INDEX(OHZ_HAZ_PACKAGES,70,1)&lt;&gt;"",INDEX(OHZ_HAZ_AMOUNT,70,1)&lt;&gt;"",),IF(OR(INDEX(OHZ_HAZ_DGCLASSIFI,70,1)="",INDEX(OHZ_HAZ_TEXTUALREF,70,1)="",INDEX(OHZ_HAZ_TOTAMOUNT,70,1)="",INDEX(OHZ_HAZ_DPGREF,70,1)="",INDEX(OHZ_HAZ_CONSIGNMENT,70,1)="",),FALSE,TRUE),TRUE)</f>
        <v>1</v>
      </c>
      <c r="K77" s="237" t="str">
        <f t="shared" si="4"/>
        <v>Row 70 - All mandatory fields must be given</v>
      </c>
      <c r="L77" s="236" t="s">
        <v>1853</v>
      </c>
      <c r="R77" s="52"/>
      <c r="S77" s="52"/>
      <c r="T77" s="52" t="s">
        <v>2162</v>
      </c>
      <c r="V77" s="52"/>
    </row>
    <row r="78" spans="1:22">
      <c r="A78" s="313"/>
      <c r="B78" s="341"/>
      <c r="F78" s="236" t="s">
        <v>1853</v>
      </c>
      <c r="G78" s="250" t="b">
        <f>IF(OR(INDEX(IHZ_HAZ_CONSIGNMENT,71,1)&lt;&gt;"",INDEX(IHZ_HAZ_TRANSDOCID,71,1)&lt;&gt;"",INDEX(IHZ_HAZ_PORTOFLOADING,71,1)&lt;&gt;"",INDEX(IHZ_HAZ_PORTOFDISCHARGE,71,1)&lt;&gt;"",INDEX(IHZ_HAZ_DPGREF,71,1)&lt;&gt;"",INDEX(IHZ_HAZ_DGCLASSIFI,71,1)&lt;&gt;"",INDEX(IHZ_HAZ_TEXTUALREF,71,1)&lt;&gt;"",INDEX(IHZ_HAZ_IMOHAZARDC,71,1)&lt;&gt;"",INDEX(IHZ_HAZ_UNNUMBER,71,1)&lt;&gt;"",INDEX(IHZ_HAZ_TOTAMOUNT,71,1)&lt;&gt;"",INDEX(IHZ_HAZ_PACKINGGRO,71,1)&lt;&gt;"",INDEX(IHZ_HAZ_FLASHPOINT,71,1)&lt;&gt;"",INDEX(IHZ_HAZ_MARPOLCODE,71,1)&lt;&gt;"",INDEX(IHZ_HAZ_PACTYPE,71,1)&lt;&gt;"",INDEX(IHZ_HAZ_TOTALPACKA,71,1)&lt;&gt;"",INDEX(IHZ_HAZ_ADDITIONAL,71,1)&lt;&gt;"",INDEX(IHZ_HAZ_EMS,71,1)&lt;&gt;"",INDEX(IHZ_HAZ_SUBSIDIARY,71,1)&lt;&gt;"",INDEX(IHZ_HAZ_UNITTYPE,71,1)&lt;&gt;"",INDEX(IHZ_HAZ_TEUID,71,1)&lt;&gt;"",INDEX(IHZ_HAZ_LOCATION,71,1)&lt;&gt;"",INDEX(IHZ_HAZ_PACKAGES,71,1)&lt;&gt;"",INDEX(IHZ_HAZ_AMOUNT,71,1)&lt;&gt;"",),IF(OR(INDEX(IHZ_HAZ_DGCLASSIFI,71,1)="",INDEX(IHZ_HAZ_TEXTUALREF,71,1)="",INDEX(IHZ_HAZ_TOTAMOUNT,71,1)="",INDEX(IHZ_HAZ_DPGREF,71,1)="",INDEX(IHZ_HAZ_CONSIGNMENT,71,1)="",),FALSE,TRUE),TRUE)</f>
        <v>1</v>
      </c>
      <c r="H78" s="237" t="str">
        <f t="shared" si="3"/>
        <v>Row 71 - All mandatory fields must be given</v>
      </c>
      <c r="I78" s="236" t="s">
        <v>1853</v>
      </c>
      <c r="J78" s="52" t="b">
        <f>IF(OR(INDEX(OHZ_HAZ_CONSIGNMENT,71,1)&lt;&gt;"",INDEX(OHZ_HAZ_TRANSDOCID,71,1)&lt;&gt;"",INDEX(OHZ_HAZ_PORTOFLOADING,71,1)&lt;&gt;"",INDEX(OHZ_HAZ_PORTOFDISCHARGE,71,1)&lt;&gt;"",INDEX(OHZ_HAZ_DPGREF,71,1)&lt;&gt;"",INDEX(OHZ_HAZ_DGCLASSIFI,71,1)&lt;&gt;"",INDEX(OHZ_HAZ_TEXTUALREF,71,1)&lt;&gt;"",INDEX(OHZ_HAZ_IMOHAZARDC,71,1)&lt;&gt;"",INDEX(OHZ_HAZ_UNNUMBER,71,1)&lt;&gt;"",INDEX(OHZ_HAZ_TOTAMOUNT,71,1)&lt;&gt;"",INDEX(OHZ_HAZ_PACKINGGRO,71,1)&lt;&gt;"",INDEX(OHZ_HAZ_FLASHPOINT,71,1)&lt;&gt;"",INDEX(OHZ_HAZ_MARPOLCODE,71,1)&lt;&gt;"",INDEX(OHZ_HAZ_PACTYPE,71,1)&lt;&gt;"",INDEX(OHZ_HAZ_TOTALPACKA,71,1)&lt;&gt;"",INDEX(OHZ_HAZ_ADDITIONAL,71,1)&lt;&gt;"",INDEX(OHZ_HAZ_EMS,71,1)&lt;&gt;"",INDEX(OHZ_HAZ_SUBSIDIARY,71,1)&lt;&gt;"",INDEX(OHZ_HAZ_UNITTYPE,71,1)&lt;&gt;"",INDEX(OHZ_HAZ_TEUID,71,1)&lt;&gt;"",INDEX(OHZ_HAZ_LOCATION,71,1)&lt;&gt;"",INDEX(OHZ_HAZ_PACKAGES,71,1)&lt;&gt;"",INDEX(OHZ_HAZ_AMOUNT,71,1)&lt;&gt;"",),IF(OR(INDEX(OHZ_HAZ_DGCLASSIFI,71,1)="",INDEX(OHZ_HAZ_TEXTUALREF,71,1)="",INDEX(OHZ_HAZ_TOTAMOUNT,71,1)="",INDEX(OHZ_HAZ_DPGREF,71,1)="",INDEX(OHZ_HAZ_CONSIGNMENT,71,1)="",),FALSE,TRUE),TRUE)</f>
        <v>1</v>
      </c>
      <c r="K78" s="237" t="str">
        <f t="shared" si="4"/>
        <v>Row 71 - All mandatory fields must be given</v>
      </c>
      <c r="L78" s="236" t="s">
        <v>1853</v>
      </c>
      <c r="R78" s="52"/>
      <c r="S78" s="52"/>
      <c r="T78" s="52" t="s">
        <v>2163</v>
      </c>
      <c r="V78" s="52"/>
    </row>
    <row r="79" spans="1:22">
      <c r="A79" s="313"/>
      <c r="B79" s="341"/>
      <c r="F79" s="236" t="s">
        <v>1853</v>
      </c>
      <c r="G79" s="250" t="b">
        <f>IF(OR(INDEX(IHZ_HAZ_CONSIGNMENT,72,1)&lt;&gt;"",INDEX(IHZ_HAZ_TRANSDOCID,72,1)&lt;&gt;"",INDEX(IHZ_HAZ_PORTOFLOADING,72,1)&lt;&gt;"",INDEX(IHZ_HAZ_PORTOFDISCHARGE,72,1)&lt;&gt;"",INDEX(IHZ_HAZ_DPGREF,72,1)&lt;&gt;"",INDEX(IHZ_HAZ_DGCLASSIFI,72,1)&lt;&gt;"",INDEX(IHZ_HAZ_TEXTUALREF,72,1)&lt;&gt;"",INDEX(IHZ_HAZ_IMOHAZARDC,72,1)&lt;&gt;"",INDEX(IHZ_HAZ_UNNUMBER,72,1)&lt;&gt;"",INDEX(IHZ_HAZ_TOTAMOUNT,72,1)&lt;&gt;"",INDEX(IHZ_HAZ_PACKINGGRO,72,1)&lt;&gt;"",INDEX(IHZ_HAZ_FLASHPOINT,72,1)&lt;&gt;"",INDEX(IHZ_HAZ_MARPOLCODE,72,1)&lt;&gt;"",INDEX(IHZ_HAZ_PACTYPE,72,1)&lt;&gt;"",INDEX(IHZ_HAZ_TOTALPACKA,72,1)&lt;&gt;"",INDEX(IHZ_HAZ_ADDITIONAL,72,1)&lt;&gt;"",INDEX(IHZ_HAZ_EMS,72,1)&lt;&gt;"",INDEX(IHZ_HAZ_SUBSIDIARY,72,1)&lt;&gt;"",INDEX(IHZ_HAZ_UNITTYPE,72,1)&lt;&gt;"",INDEX(IHZ_HAZ_TEUID,72,1)&lt;&gt;"",INDEX(IHZ_HAZ_LOCATION,72,1)&lt;&gt;"",INDEX(IHZ_HAZ_PACKAGES,72,1)&lt;&gt;"",INDEX(IHZ_HAZ_AMOUNT,72,1)&lt;&gt;"",),IF(OR(INDEX(IHZ_HAZ_DGCLASSIFI,72,1)="",INDEX(IHZ_HAZ_TEXTUALREF,72,1)="",INDEX(IHZ_HAZ_TOTAMOUNT,72,1)="",INDEX(IHZ_HAZ_DPGREF,72,1)="",INDEX(IHZ_HAZ_CONSIGNMENT,72,1)="",),FALSE,TRUE),TRUE)</f>
        <v>1</v>
      </c>
      <c r="H79" s="237" t="str">
        <f t="shared" si="3"/>
        <v>Row 72 - All mandatory fields must be given</v>
      </c>
      <c r="I79" s="236" t="s">
        <v>1853</v>
      </c>
      <c r="J79" s="52" t="b">
        <f>IF(OR(INDEX(OHZ_HAZ_CONSIGNMENT,72,1)&lt;&gt;"",INDEX(OHZ_HAZ_TRANSDOCID,72,1)&lt;&gt;"",INDEX(OHZ_HAZ_PORTOFLOADING,72,1)&lt;&gt;"",INDEX(OHZ_HAZ_PORTOFDISCHARGE,72,1)&lt;&gt;"",INDEX(OHZ_HAZ_DPGREF,72,1)&lt;&gt;"",INDEX(OHZ_HAZ_DGCLASSIFI,72,1)&lt;&gt;"",INDEX(OHZ_HAZ_TEXTUALREF,72,1)&lt;&gt;"",INDEX(OHZ_HAZ_IMOHAZARDC,72,1)&lt;&gt;"",INDEX(OHZ_HAZ_UNNUMBER,72,1)&lt;&gt;"",INDEX(OHZ_HAZ_TOTAMOUNT,72,1)&lt;&gt;"",INDEX(OHZ_HAZ_PACKINGGRO,72,1)&lt;&gt;"",INDEX(OHZ_HAZ_FLASHPOINT,72,1)&lt;&gt;"",INDEX(OHZ_HAZ_MARPOLCODE,72,1)&lt;&gt;"",INDEX(OHZ_HAZ_PACTYPE,72,1)&lt;&gt;"",INDEX(OHZ_HAZ_TOTALPACKA,72,1)&lt;&gt;"",INDEX(OHZ_HAZ_ADDITIONAL,72,1)&lt;&gt;"",INDEX(OHZ_HAZ_EMS,72,1)&lt;&gt;"",INDEX(OHZ_HAZ_SUBSIDIARY,72,1)&lt;&gt;"",INDEX(OHZ_HAZ_UNITTYPE,72,1)&lt;&gt;"",INDEX(OHZ_HAZ_TEUID,72,1)&lt;&gt;"",INDEX(OHZ_HAZ_LOCATION,72,1)&lt;&gt;"",INDEX(OHZ_HAZ_PACKAGES,72,1)&lt;&gt;"",INDEX(OHZ_HAZ_AMOUNT,72,1)&lt;&gt;"",),IF(OR(INDEX(OHZ_HAZ_DGCLASSIFI,72,1)="",INDEX(OHZ_HAZ_TEXTUALREF,72,1)="",INDEX(OHZ_HAZ_TOTAMOUNT,72,1)="",INDEX(OHZ_HAZ_DPGREF,72,1)="",INDEX(OHZ_HAZ_CONSIGNMENT,72,1)="",),FALSE,TRUE),TRUE)</f>
        <v>1</v>
      </c>
      <c r="K79" s="237" t="str">
        <f t="shared" si="4"/>
        <v>Row 72 - All mandatory fields must be given</v>
      </c>
      <c r="L79" s="236" t="s">
        <v>1853</v>
      </c>
      <c r="R79" s="52"/>
      <c r="S79" s="52"/>
      <c r="T79" s="52" t="s">
        <v>2164</v>
      </c>
      <c r="V79" s="52"/>
    </row>
    <row r="80" spans="1:22">
      <c r="A80" s="313" t="b">
        <f>OR(AND((INDEX(SEC_SHIP_LATITUDE,1,1)&gt;-54000001),(INDEX(SEC_SHIP_LATITUDE,1,1)&lt;54000001)), (INDEX(SEC_SHIP_LATITUDE,1,1)=54600000))</f>
        <v>1</v>
      </c>
      <c r="B80" s="341" t="s">
        <v>2078</v>
      </c>
      <c r="F80" s="236" t="s">
        <v>1853</v>
      </c>
      <c r="G80" s="250" t="b">
        <f>IF(OR(INDEX(IHZ_HAZ_CONSIGNMENT,73,1)&lt;&gt;"",INDEX(IHZ_HAZ_TRANSDOCID,73,1)&lt;&gt;"",INDEX(IHZ_HAZ_PORTOFLOADING,73,1)&lt;&gt;"",INDEX(IHZ_HAZ_PORTOFDISCHARGE,73,1)&lt;&gt;"",INDEX(IHZ_HAZ_DPGREF,73,1)&lt;&gt;"",INDEX(IHZ_HAZ_DGCLASSIFI,73,1)&lt;&gt;"",INDEX(IHZ_HAZ_TEXTUALREF,73,1)&lt;&gt;"",INDEX(IHZ_HAZ_IMOHAZARDC,73,1)&lt;&gt;"",INDEX(IHZ_HAZ_UNNUMBER,73,1)&lt;&gt;"",INDEX(IHZ_HAZ_TOTAMOUNT,73,1)&lt;&gt;"",INDEX(IHZ_HAZ_PACKINGGRO,73,1)&lt;&gt;"",INDEX(IHZ_HAZ_FLASHPOINT,73,1)&lt;&gt;"",INDEX(IHZ_HAZ_MARPOLCODE,73,1)&lt;&gt;"",INDEX(IHZ_HAZ_PACTYPE,73,1)&lt;&gt;"",INDEX(IHZ_HAZ_TOTALPACKA,73,1)&lt;&gt;"",INDEX(IHZ_HAZ_ADDITIONAL,73,1)&lt;&gt;"",INDEX(IHZ_HAZ_EMS,73,1)&lt;&gt;"",INDEX(IHZ_HAZ_SUBSIDIARY,73,1)&lt;&gt;"",INDEX(IHZ_HAZ_UNITTYPE,73,1)&lt;&gt;"",INDEX(IHZ_HAZ_TEUID,73,1)&lt;&gt;"",INDEX(IHZ_HAZ_LOCATION,73,1)&lt;&gt;"",INDEX(IHZ_HAZ_PACKAGES,73,1)&lt;&gt;"",INDEX(IHZ_HAZ_AMOUNT,73,1)&lt;&gt;"",),IF(OR(INDEX(IHZ_HAZ_DGCLASSIFI,73,1)="",INDEX(IHZ_HAZ_TEXTUALREF,73,1)="",INDEX(IHZ_HAZ_TOTAMOUNT,73,1)="",INDEX(IHZ_HAZ_DPGREF,73,1)="",INDEX(IHZ_HAZ_CONSIGNMENT,73,1)="",),FALSE,TRUE),TRUE)</f>
        <v>1</v>
      </c>
      <c r="H80" s="237" t="str">
        <f t="shared" si="3"/>
        <v>Row 73 - All mandatory fields must be given</v>
      </c>
      <c r="I80" s="236" t="s">
        <v>1853</v>
      </c>
      <c r="J80" s="52" t="b">
        <f>IF(OR(INDEX(OHZ_HAZ_CONSIGNMENT,73,1)&lt;&gt;"",INDEX(OHZ_HAZ_TRANSDOCID,73,1)&lt;&gt;"",INDEX(OHZ_HAZ_PORTOFLOADING,73,1)&lt;&gt;"",INDEX(OHZ_HAZ_PORTOFDISCHARGE,73,1)&lt;&gt;"",INDEX(OHZ_HAZ_DPGREF,73,1)&lt;&gt;"",INDEX(OHZ_HAZ_DGCLASSIFI,73,1)&lt;&gt;"",INDEX(OHZ_HAZ_TEXTUALREF,73,1)&lt;&gt;"",INDEX(OHZ_HAZ_IMOHAZARDC,73,1)&lt;&gt;"",INDEX(OHZ_HAZ_UNNUMBER,73,1)&lt;&gt;"",INDEX(OHZ_HAZ_TOTAMOUNT,73,1)&lt;&gt;"",INDEX(OHZ_HAZ_PACKINGGRO,73,1)&lt;&gt;"",INDEX(OHZ_HAZ_FLASHPOINT,73,1)&lt;&gt;"",INDEX(OHZ_HAZ_MARPOLCODE,73,1)&lt;&gt;"",INDEX(OHZ_HAZ_PACTYPE,73,1)&lt;&gt;"",INDEX(OHZ_HAZ_TOTALPACKA,73,1)&lt;&gt;"",INDEX(OHZ_HAZ_ADDITIONAL,73,1)&lt;&gt;"",INDEX(OHZ_HAZ_EMS,73,1)&lt;&gt;"",INDEX(OHZ_HAZ_SUBSIDIARY,73,1)&lt;&gt;"",INDEX(OHZ_HAZ_UNITTYPE,73,1)&lt;&gt;"",INDEX(OHZ_HAZ_TEUID,73,1)&lt;&gt;"",INDEX(OHZ_HAZ_LOCATION,73,1)&lt;&gt;"",INDEX(OHZ_HAZ_PACKAGES,73,1)&lt;&gt;"",INDEX(OHZ_HAZ_AMOUNT,73,1)&lt;&gt;"",),IF(OR(INDEX(OHZ_HAZ_DGCLASSIFI,73,1)="",INDEX(OHZ_HAZ_TEXTUALREF,73,1)="",INDEX(OHZ_HAZ_TOTAMOUNT,73,1)="",INDEX(OHZ_HAZ_DPGREF,73,1)="",INDEX(OHZ_HAZ_CONSIGNMENT,73,1)="",),FALSE,TRUE),TRUE)</f>
        <v>1</v>
      </c>
      <c r="K80" s="237" t="str">
        <f t="shared" si="4"/>
        <v>Row 73 - All mandatory fields must be given</v>
      </c>
      <c r="L80" s="236" t="s">
        <v>1853</v>
      </c>
      <c r="R80" s="52"/>
      <c r="S80" s="52"/>
      <c r="T80" s="52" t="s">
        <v>2165</v>
      </c>
      <c r="V80" s="52"/>
    </row>
    <row r="81" spans="1:22">
      <c r="A81" s="313" t="b">
        <f>OR(AND((INDEX(SEC_SHIP_LONGITUDE,1,1)&gt;-108000001),(INDEX(SEC_SHIP_LONGITUDE,1,1)&lt;108000001)), (INDEX(SEC_SHIP_LONGITUDE,1,1)=108600000))</f>
        <v>1</v>
      </c>
      <c r="B81" s="341" t="s">
        <v>2079</v>
      </c>
      <c r="F81" s="236" t="s">
        <v>1853</v>
      </c>
      <c r="G81" s="250" t="b">
        <f>IF(OR(INDEX(IHZ_HAZ_CONSIGNMENT,74,1)&lt;&gt;"",INDEX(IHZ_HAZ_TRANSDOCID,74,1)&lt;&gt;"",INDEX(IHZ_HAZ_PORTOFLOADING,74,1)&lt;&gt;"",INDEX(IHZ_HAZ_PORTOFDISCHARGE,74,1)&lt;&gt;"",INDEX(IHZ_HAZ_DPGREF,74,1)&lt;&gt;"",INDEX(IHZ_HAZ_DGCLASSIFI,74,1)&lt;&gt;"",INDEX(IHZ_HAZ_TEXTUALREF,74,1)&lt;&gt;"",INDEX(IHZ_HAZ_IMOHAZARDC,74,1)&lt;&gt;"",INDEX(IHZ_HAZ_UNNUMBER,74,1)&lt;&gt;"",INDEX(IHZ_HAZ_TOTAMOUNT,74,1)&lt;&gt;"",INDEX(IHZ_HAZ_PACKINGGRO,74,1)&lt;&gt;"",INDEX(IHZ_HAZ_FLASHPOINT,74,1)&lt;&gt;"",INDEX(IHZ_HAZ_MARPOLCODE,74,1)&lt;&gt;"",INDEX(IHZ_HAZ_PACTYPE,74,1)&lt;&gt;"",INDEX(IHZ_HAZ_TOTALPACKA,74,1)&lt;&gt;"",INDEX(IHZ_HAZ_ADDITIONAL,74,1)&lt;&gt;"",INDEX(IHZ_HAZ_EMS,74,1)&lt;&gt;"",INDEX(IHZ_HAZ_SUBSIDIARY,74,1)&lt;&gt;"",INDEX(IHZ_HAZ_UNITTYPE,74,1)&lt;&gt;"",INDEX(IHZ_HAZ_TEUID,74,1)&lt;&gt;"",INDEX(IHZ_HAZ_LOCATION,74,1)&lt;&gt;"",INDEX(IHZ_HAZ_PACKAGES,74,1)&lt;&gt;"",INDEX(IHZ_HAZ_AMOUNT,74,1)&lt;&gt;"",),IF(OR(INDEX(IHZ_HAZ_DGCLASSIFI,74,1)="",INDEX(IHZ_HAZ_TEXTUALREF,74,1)="",INDEX(IHZ_HAZ_TOTAMOUNT,74,1)="",INDEX(IHZ_HAZ_DPGREF,74,1)="",INDEX(IHZ_HAZ_CONSIGNMENT,74,1)="",),FALSE,TRUE),TRUE)</f>
        <v>1</v>
      </c>
      <c r="H81" s="237" t="str">
        <f t="shared" si="3"/>
        <v>Row 74 - All mandatory fields must be given</v>
      </c>
      <c r="I81" s="236" t="s">
        <v>1853</v>
      </c>
      <c r="J81" s="52" t="b">
        <f>IF(OR(INDEX(OHZ_HAZ_CONSIGNMENT,74,1)&lt;&gt;"",INDEX(OHZ_HAZ_TRANSDOCID,74,1)&lt;&gt;"",INDEX(OHZ_HAZ_PORTOFLOADING,74,1)&lt;&gt;"",INDEX(OHZ_HAZ_PORTOFDISCHARGE,74,1)&lt;&gt;"",INDEX(OHZ_HAZ_DPGREF,74,1)&lt;&gt;"",INDEX(OHZ_HAZ_DGCLASSIFI,74,1)&lt;&gt;"",INDEX(OHZ_HAZ_TEXTUALREF,74,1)&lt;&gt;"",INDEX(OHZ_HAZ_IMOHAZARDC,74,1)&lt;&gt;"",INDEX(OHZ_HAZ_UNNUMBER,74,1)&lt;&gt;"",INDEX(OHZ_HAZ_TOTAMOUNT,74,1)&lt;&gt;"",INDEX(OHZ_HAZ_PACKINGGRO,74,1)&lt;&gt;"",INDEX(OHZ_HAZ_FLASHPOINT,74,1)&lt;&gt;"",INDEX(OHZ_HAZ_MARPOLCODE,74,1)&lt;&gt;"",INDEX(OHZ_HAZ_PACTYPE,74,1)&lt;&gt;"",INDEX(OHZ_HAZ_TOTALPACKA,74,1)&lt;&gt;"",INDEX(OHZ_HAZ_ADDITIONAL,74,1)&lt;&gt;"",INDEX(OHZ_HAZ_EMS,74,1)&lt;&gt;"",INDEX(OHZ_HAZ_SUBSIDIARY,74,1)&lt;&gt;"",INDEX(OHZ_HAZ_UNITTYPE,74,1)&lt;&gt;"",INDEX(OHZ_HAZ_TEUID,74,1)&lt;&gt;"",INDEX(OHZ_HAZ_LOCATION,74,1)&lt;&gt;"",INDEX(OHZ_HAZ_PACKAGES,74,1)&lt;&gt;"",INDEX(OHZ_HAZ_AMOUNT,74,1)&lt;&gt;"",),IF(OR(INDEX(OHZ_HAZ_DGCLASSIFI,74,1)="",INDEX(OHZ_HAZ_TEXTUALREF,74,1)="",INDEX(OHZ_HAZ_TOTAMOUNT,74,1)="",INDEX(OHZ_HAZ_DPGREF,74,1)="",INDEX(OHZ_HAZ_CONSIGNMENT,74,1)="",),FALSE,TRUE),TRUE)</f>
        <v>1</v>
      </c>
      <c r="K81" s="237" t="str">
        <f t="shared" si="4"/>
        <v>Row 74 - All mandatory fields must be given</v>
      </c>
      <c r="L81" s="236" t="s">
        <v>1853</v>
      </c>
      <c r="R81" s="52"/>
      <c r="S81" s="52"/>
      <c r="T81" s="52" t="s">
        <v>2166</v>
      </c>
      <c r="V81" s="52"/>
    </row>
    <row r="82" spans="1:22">
      <c r="A82" s="313" t="b">
        <f>SUMPRODUCT(--(LEN(SEC_SHIP_LOCATION))&gt;256)=0</f>
        <v>1</v>
      </c>
      <c r="B82" s="341" t="s">
        <v>2080</v>
      </c>
      <c r="F82" s="236" t="s">
        <v>1853</v>
      </c>
      <c r="G82" s="250" t="b">
        <f>IF(OR(INDEX(IHZ_HAZ_CONSIGNMENT,75,1)&lt;&gt;"",INDEX(IHZ_HAZ_TRANSDOCID,75,1)&lt;&gt;"",INDEX(IHZ_HAZ_PORTOFLOADING,75,1)&lt;&gt;"",INDEX(IHZ_HAZ_PORTOFDISCHARGE,75,1)&lt;&gt;"",INDEX(IHZ_HAZ_DPGREF,75,1)&lt;&gt;"",INDEX(IHZ_HAZ_DGCLASSIFI,75,1)&lt;&gt;"",INDEX(IHZ_HAZ_TEXTUALREF,75,1)&lt;&gt;"",INDEX(IHZ_HAZ_IMOHAZARDC,75,1)&lt;&gt;"",INDEX(IHZ_HAZ_UNNUMBER,75,1)&lt;&gt;"",INDEX(IHZ_HAZ_TOTAMOUNT,75,1)&lt;&gt;"",INDEX(IHZ_HAZ_PACKINGGRO,75,1)&lt;&gt;"",INDEX(IHZ_HAZ_FLASHPOINT,75,1)&lt;&gt;"",INDEX(IHZ_HAZ_MARPOLCODE,75,1)&lt;&gt;"",INDEX(IHZ_HAZ_PACTYPE,75,1)&lt;&gt;"",INDEX(IHZ_HAZ_TOTALPACKA,75,1)&lt;&gt;"",INDEX(IHZ_HAZ_ADDITIONAL,75,1)&lt;&gt;"",INDEX(IHZ_HAZ_EMS,75,1)&lt;&gt;"",INDEX(IHZ_HAZ_SUBSIDIARY,75,1)&lt;&gt;"",INDEX(IHZ_HAZ_UNITTYPE,75,1)&lt;&gt;"",INDEX(IHZ_HAZ_TEUID,75,1)&lt;&gt;"",INDEX(IHZ_HAZ_LOCATION,75,1)&lt;&gt;"",INDEX(IHZ_HAZ_PACKAGES,75,1)&lt;&gt;"",INDEX(IHZ_HAZ_AMOUNT,75,1)&lt;&gt;"",),IF(OR(INDEX(IHZ_HAZ_DGCLASSIFI,75,1)="",INDEX(IHZ_HAZ_TEXTUALREF,75,1)="",INDEX(IHZ_HAZ_TOTAMOUNT,75,1)="",INDEX(IHZ_HAZ_DPGREF,75,1)="",INDEX(IHZ_HAZ_CONSIGNMENT,75,1)="",),FALSE,TRUE),TRUE)</f>
        <v>1</v>
      </c>
      <c r="H82" s="237" t="str">
        <f t="shared" si="3"/>
        <v>Row 75 - All mandatory fields must be given</v>
      </c>
      <c r="I82" s="236" t="s">
        <v>1853</v>
      </c>
      <c r="J82" s="52" t="b">
        <f>IF(OR(INDEX(OHZ_HAZ_CONSIGNMENT,75,1)&lt;&gt;"",INDEX(OHZ_HAZ_TRANSDOCID,75,1)&lt;&gt;"",INDEX(OHZ_HAZ_PORTOFLOADING,75,1)&lt;&gt;"",INDEX(OHZ_HAZ_PORTOFDISCHARGE,75,1)&lt;&gt;"",INDEX(OHZ_HAZ_DPGREF,75,1)&lt;&gt;"",INDEX(OHZ_HAZ_DGCLASSIFI,75,1)&lt;&gt;"",INDEX(OHZ_HAZ_TEXTUALREF,75,1)&lt;&gt;"",INDEX(OHZ_HAZ_IMOHAZARDC,75,1)&lt;&gt;"",INDEX(OHZ_HAZ_UNNUMBER,75,1)&lt;&gt;"",INDEX(OHZ_HAZ_TOTAMOUNT,75,1)&lt;&gt;"",INDEX(OHZ_HAZ_PACKINGGRO,75,1)&lt;&gt;"",INDEX(OHZ_HAZ_FLASHPOINT,75,1)&lt;&gt;"",INDEX(OHZ_HAZ_MARPOLCODE,75,1)&lt;&gt;"",INDEX(OHZ_HAZ_PACTYPE,75,1)&lt;&gt;"",INDEX(OHZ_HAZ_TOTALPACKA,75,1)&lt;&gt;"",INDEX(OHZ_HAZ_ADDITIONAL,75,1)&lt;&gt;"",INDEX(OHZ_HAZ_EMS,75,1)&lt;&gt;"",INDEX(OHZ_HAZ_SUBSIDIARY,75,1)&lt;&gt;"",INDEX(OHZ_HAZ_UNITTYPE,75,1)&lt;&gt;"",INDEX(OHZ_HAZ_TEUID,75,1)&lt;&gt;"",INDEX(OHZ_HAZ_LOCATION,75,1)&lt;&gt;"",INDEX(OHZ_HAZ_PACKAGES,75,1)&lt;&gt;"",INDEX(OHZ_HAZ_AMOUNT,75,1)&lt;&gt;"",),IF(OR(INDEX(OHZ_HAZ_DGCLASSIFI,75,1)="",INDEX(OHZ_HAZ_TEXTUALREF,75,1)="",INDEX(OHZ_HAZ_TOTAMOUNT,75,1)="",INDEX(OHZ_HAZ_DPGREF,75,1)="",INDEX(OHZ_HAZ_CONSIGNMENT,75,1)="",),FALSE,TRUE),TRUE)</f>
        <v>1</v>
      </c>
      <c r="K82" s="237" t="str">
        <f t="shared" si="4"/>
        <v>Row 75 - All mandatory fields must be given</v>
      </c>
      <c r="L82" s="236" t="s">
        <v>1853</v>
      </c>
      <c r="R82" s="52"/>
      <c r="S82" s="52"/>
      <c r="T82" s="52" t="s">
        <v>2167</v>
      </c>
      <c r="V82" s="52"/>
    </row>
    <row r="83" spans="1:22">
      <c r="A83" s="313" t="b">
        <f>OR(INDEX(SEC_SHIP_ACTIVITY,1,1)="",COUNTIF(REF_ACTIVITY,INDEX(SEC_SHIP_ACTIVITY,1,1))=1)</f>
        <v>1</v>
      </c>
      <c r="B83" s="341" t="s">
        <v>2081</v>
      </c>
      <c r="F83" s="236" t="s">
        <v>1853</v>
      </c>
      <c r="G83" s="250" t="b">
        <f>IF(OR(INDEX(IHZ_HAZ_CONSIGNMENT,76,1)&lt;&gt;"",INDEX(IHZ_HAZ_TRANSDOCID,76,1)&lt;&gt;"",INDEX(IHZ_HAZ_PORTOFLOADING,76,1)&lt;&gt;"",INDEX(IHZ_HAZ_PORTOFDISCHARGE,76,1)&lt;&gt;"",INDEX(IHZ_HAZ_DPGREF,76,1)&lt;&gt;"",INDEX(IHZ_HAZ_DGCLASSIFI,76,1)&lt;&gt;"",INDEX(IHZ_HAZ_TEXTUALREF,76,1)&lt;&gt;"",INDEX(IHZ_HAZ_IMOHAZARDC,76,1)&lt;&gt;"",INDEX(IHZ_HAZ_UNNUMBER,76,1)&lt;&gt;"",INDEX(IHZ_HAZ_TOTAMOUNT,76,1)&lt;&gt;"",INDEX(IHZ_HAZ_PACKINGGRO,76,1)&lt;&gt;"",INDEX(IHZ_HAZ_FLASHPOINT,76,1)&lt;&gt;"",INDEX(IHZ_HAZ_MARPOLCODE,76,1)&lt;&gt;"",INDEX(IHZ_HAZ_PACTYPE,76,1)&lt;&gt;"",INDEX(IHZ_HAZ_TOTALPACKA,76,1)&lt;&gt;"",INDEX(IHZ_HAZ_ADDITIONAL,76,1)&lt;&gt;"",INDEX(IHZ_HAZ_EMS,76,1)&lt;&gt;"",INDEX(IHZ_HAZ_SUBSIDIARY,76,1)&lt;&gt;"",INDEX(IHZ_HAZ_UNITTYPE,76,1)&lt;&gt;"",INDEX(IHZ_HAZ_TEUID,76,1)&lt;&gt;"",INDEX(IHZ_HAZ_LOCATION,76,1)&lt;&gt;"",INDEX(IHZ_HAZ_PACKAGES,76,1)&lt;&gt;"",INDEX(IHZ_HAZ_AMOUNT,76,1)&lt;&gt;"",),IF(OR(INDEX(IHZ_HAZ_DGCLASSIFI,76,1)="",INDEX(IHZ_HAZ_TEXTUALREF,76,1)="",INDEX(IHZ_HAZ_TOTAMOUNT,76,1)="",INDEX(IHZ_HAZ_DPGREF,76,1)="",INDEX(IHZ_HAZ_CONSIGNMENT,76,1)="",),FALSE,TRUE),TRUE)</f>
        <v>1</v>
      </c>
      <c r="H83" s="237" t="str">
        <f t="shared" si="3"/>
        <v>Row 76 - All mandatory fields must be given</v>
      </c>
      <c r="I83" s="236" t="s">
        <v>1853</v>
      </c>
      <c r="J83" s="52" t="b">
        <f>IF(OR(INDEX(OHZ_HAZ_CONSIGNMENT,76,1)&lt;&gt;"",INDEX(OHZ_HAZ_TRANSDOCID,76,1)&lt;&gt;"",INDEX(OHZ_HAZ_PORTOFLOADING,76,1)&lt;&gt;"",INDEX(OHZ_HAZ_PORTOFDISCHARGE,76,1)&lt;&gt;"",INDEX(OHZ_HAZ_DPGREF,76,1)&lt;&gt;"",INDEX(OHZ_HAZ_DGCLASSIFI,76,1)&lt;&gt;"",INDEX(OHZ_HAZ_TEXTUALREF,76,1)&lt;&gt;"",INDEX(OHZ_HAZ_IMOHAZARDC,76,1)&lt;&gt;"",INDEX(OHZ_HAZ_UNNUMBER,76,1)&lt;&gt;"",INDEX(OHZ_HAZ_TOTAMOUNT,76,1)&lt;&gt;"",INDEX(OHZ_HAZ_PACKINGGRO,76,1)&lt;&gt;"",INDEX(OHZ_HAZ_FLASHPOINT,76,1)&lt;&gt;"",INDEX(OHZ_HAZ_MARPOLCODE,76,1)&lt;&gt;"",INDEX(OHZ_HAZ_PACTYPE,76,1)&lt;&gt;"",INDEX(OHZ_HAZ_TOTALPACKA,76,1)&lt;&gt;"",INDEX(OHZ_HAZ_ADDITIONAL,76,1)&lt;&gt;"",INDEX(OHZ_HAZ_EMS,76,1)&lt;&gt;"",INDEX(OHZ_HAZ_SUBSIDIARY,76,1)&lt;&gt;"",INDEX(OHZ_HAZ_UNITTYPE,76,1)&lt;&gt;"",INDEX(OHZ_HAZ_TEUID,76,1)&lt;&gt;"",INDEX(OHZ_HAZ_LOCATION,76,1)&lt;&gt;"",INDEX(OHZ_HAZ_PACKAGES,76,1)&lt;&gt;"",INDEX(OHZ_HAZ_AMOUNT,76,1)&lt;&gt;"",),IF(OR(INDEX(OHZ_HAZ_DGCLASSIFI,76,1)="",INDEX(OHZ_HAZ_TEXTUALREF,76,1)="",INDEX(OHZ_HAZ_TOTAMOUNT,76,1)="",INDEX(OHZ_HAZ_DPGREF,76,1)="",INDEX(OHZ_HAZ_CONSIGNMENT,76,1)="",),FALSE,TRUE),TRUE)</f>
        <v>1</v>
      </c>
      <c r="K83" s="237" t="str">
        <f t="shared" si="4"/>
        <v>Row 76 - All mandatory fields must be given</v>
      </c>
      <c r="L83" s="236" t="s">
        <v>1853</v>
      </c>
      <c r="R83" s="52"/>
      <c r="S83" s="52"/>
      <c r="T83" s="52" t="s">
        <v>2168</v>
      </c>
      <c r="V83" s="52"/>
    </row>
    <row r="84" spans="1:22">
      <c r="A84" s="313" t="b">
        <f>OR(INDEX(SEC_SHIP_MEASURESYORN,1,1)="None",INDEX(SEC_SHIP_MEASURESYORN,1,1)="Yes")</f>
        <v>1</v>
      </c>
      <c r="B84" s="341" t="s">
        <v>2082</v>
      </c>
      <c r="F84" s="236" t="s">
        <v>1853</v>
      </c>
      <c r="G84" s="250" t="b">
        <f>IF(OR(INDEX(IHZ_HAZ_CONSIGNMENT,77,1)&lt;&gt;"",INDEX(IHZ_HAZ_TRANSDOCID,77,1)&lt;&gt;"",INDEX(IHZ_HAZ_PORTOFLOADING,77,1)&lt;&gt;"",INDEX(IHZ_HAZ_PORTOFDISCHARGE,77,1)&lt;&gt;"",INDEX(IHZ_HAZ_DPGREF,77,1)&lt;&gt;"",INDEX(IHZ_HAZ_DGCLASSIFI,77,1)&lt;&gt;"",INDEX(IHZ_HAZ_TEXTUALREF,77,1)&lt;&gt;"",INDEX(IHZ_HAZ_IMOHAZARDC,77,1)&lt;&gt;"",INDEX(IHZ_HAZ_UNNUMBER,77,1)&lt;&gt;"",INDEX(IHZ_HAZ_TOTAMOUNT,77,1)&lt;&gt;"",INDEX(IHZ_HAZ_PACKINGGRO,77,1)&lt;&gt;"",INDEX(IHZ_HAZ_FLASHPOINT,77,1)&lt;&gt;"",INDEX(IHZ_HAZ_MARPOLCODE,77,1)&lt;&gt;"",INDEX(IHZ_HAZ_PACTYPE,77,1)&lt;&gt;"",INDEX(IHZ_HAZ_TOTALPACKA,77,1)&lt;&gt;"",INDEX(IHZ_HAZ_ADDITIONAL,77,1)&lt;&gt;"",INDEX(IHZ_HAZ_EMS,77,1)&lt;&gt;"",INDEX(IHZ_HAZ_SUBSIDIARY,77,1)&lt;&gt;"",INDEX(IHZ_HAZ_UNITTYPE,77,1)&lt;&gt;"",INDEX(IHZ_HAZ_TEUID,77,1)&lt;&gt;"",INDEX(IHZ_HAZ_LOCATION,77,1)&lt;&gt;"",INDEX(IHZ_HAZ_PACKAGES,77,1)&lt;&gt;"",INDEX(IHZ_HAZ_AMOUNT,77,1)&lt;&gt;"",),IF(OR(INDEX(IHZ_HAZ_DGCLASSIFI,77,1)="",INDEX(IHZ_HAZ_TEXTUALREF,77,1)="",INDEX(IHZ_HAZ_TOTAMOUNT,77,1)="",INDEX(IHZ_HAZ_DPGREF,77,1)="",INDEX(IHZ_HAZ_CONSIGNMENT,77,1)="",),FALSE,TRUE),TRUE)</f>
        <v>1</v>
      </c>
      <c r="H84" s="237" t="str">
        <f t="shared" si="3"/>
        <v>Row 77 - All mandatory fields must be given</v>
      </c>
      <c r="I84" s="236" t="s">
        <v>1853</v>
      </c>
      <c r="J84" s="52" t="b">
        <f>IF(OR(INDEX(OHZ_HAZ_CONSIGNMENT,77,1)&lt;&gt;"",INDEX(OHZ_HAZ_TRANSDOCID,77,1)&lt;&gt;"",INDEX(OHZ_HAZ_PORTOFLOADING,77,1)&lt;&gt;"",INDEX(OHZ_HAZ_PORTOFDISCHARGE,77,1)&lt;&gt;"",INDEX(OHZ_HAZ_DPGREF,77,1)&lt;&gt;"",INDEX(OHZ_HAZ_DGCLASSIFI,77,1)&lt;&gt;"",INDEX(OHZ_HAZ_TEXTUALREF,77,1)&lt;&gt;"",INDEX(OHZ_HAZ_IMOHAZARDC,77,1)&lt;&gt;"",INDEX(OHZ_HAZ_UNNUMBER,77,1)&lt;&gt;"",INDEX(OHZ_HAZ_TOTAMOUNT,77,1)&lt;&gt;"",INDEX(OHZ_HAZ_PACKINGGRO,77,1)&lt;&gt;"",INDEX(OHZ_HAZ_FLASHPOINT,77,1)&lt;&gt;"",INDEX(OHZ_HAZ_MARPOLCODE,77,1)&lt;&gt;"",INDEX(OHZ_HAZ_PACTYPE,77,1)&lt;&gt;"",INDEX(OHZ_HAZ_TOTALPACKA,77,1)&lt;&gt;"",INDEX(OHZ_HAZ_ADDITIONAL,77,1)&lt;&gt;"",INDEX(OHZ_HAZ_EMS,77,1)&lt;&gt;"",INDEX(OHZ_HAZ_SUBSIDIARY,77,1)&lt;&gt;"",INDEX(OHZ_HAZ_UNITTYPE,77,1)&lt;&gt;"",INDEX(OHZ_HAZ_TEUID,77,1)&lt;&gt;"",INDEX(OHZ_HAZ_LOCATION,77,1)&lt;&gt;"",INDEX(OHZ_HAZ_PACKAGES,77,1)&lt;&gt;"",INDEX(OHZ_HAZ_AMOUNT,77,1)&lt;&gt;"",),IF(OR(INDEX(OHZ_HAZ_DGCLASSIFI,77,1)="",INDEX(OHZ_HAZ_TEXTUALREF,77,1)="",INDEX(OHZ_HAZ_TOTAMOUNT,77,1)="",INDEX(OHZ_HAZ_DPGREF,77,1)="",INDEX(OHZ_HAZ_CONSIGNMENT,77,1)="",),FALSE,TRUE),TRUE)</f>
        <v>1</v>
      </c>
      <c r="K84" s="237" t="str">
        <f t="shared" si="4"/>
        <v>Row 77 - All mandatory fields must be given</v>
      </c>
      <c r="L84" s="236" t="s">
        <v>1853</v>
      </c>
      <c r="R84" s="52"/>
      <c r="S84" s="52"/>
      <c r="T84" s="52" t="s">
        <v>2169</v>
      </c>
      <c r="V84" s="52"/>
    </row>
    <row r="85" spans="1:22">
      <c r="A85" s="313" t="b">
        <f>SUMPRODUCT(--(LEN(SEC_SHIP_SECURITYME))&gt;256)=0</f>
        <v>1</v>
      </c>
      <c r="B85" s="341" t="s">
        <v>2083</v>
      </c>
      <c r="F85" s="236" t="s">
        <v>1853</v>
      </c>
      <c r="G85" s="250" t="b">
        <f>IF(OR(INDEX(IHZ_HAZ_CONSIGNMENT,78,1)&lt;&gt;"",INDEX(IHZ_HAZ_TRANSDOCID,78,1)&lt;&gt;"",INDEX(IHZ_HAZ_PORTOFLOADING,78,1)&lt;&gt;"",INDEX(IHZ_HAZ_PORTOFDISCHARGE,78,1)&lt;&gt;"",INDEX(IHZ_HAZ_DPGREF,78,1)&lt;&gt;"",INDEX(IHZ_HAZ_DGCLASSIFI,78,1)&lt;&gt;"",INDEX(IHZ_HAZ_TEXTUALREF,78,1)&lt;&gt;"",INDEX(IHZ_HAZ_IMOHAZARDC,78,1)&lt;&gt;"",INDEX(IHZ_HAZ_UNNUMBER,78,1)&lt;&gt;"",INDEX(IHZ_HAZ_TOTAMOUNT,78,1)&lt;&gt;"",INDEX(IHZ_HAZ_PACKINGGRO,78,1)&lt;&gt;"",INDEX(IHZ_HAZ_FLASHPOINT,78,1)&lt;&gt;"",INDEX(IHZ_HAZ_MARPOLCODE,78,1)&lt;&gt;"",INDEX(IHZ_HAZ_PACTYPE,78,1)&lt;&gt;"",INDEX(IHZ_HAZ_TOTALPACKA,78,1)&lt;&gt;"",INDEX(IHZ_HAZ_ADDITIONAL,78,1)&lt;&gt;"",INDEX(IHZ_HAZ_EMS,78,1)&lt;&gt;"",INDEX(IHZ_HAZ_SUBSIDIARY,78,1)&lt;&gt;"",INDEX(IHZ_HAZ_UNITTYPE,78,1)&lt;&gt;"",INDEX(IHZ_HAZ_TEUID,78,1)&lt;&gt;"",INDEX(IHZ_HAZ_LOCATION,78,1)&lt;&gt;"",INDEX(IHZ_HAZ_PACKAGES,78,1)&lt;&gt;"",INDEX(IHZ_HAZ_AMOUNT,78,1)&lt;&gt;"",),IF(OR(INDEX(IHZ_HAZ_DGCLASSIFI,78,1)="",INDEX(IHZ_HAZ_TEXTUALREF,78,1)="",INDEX(IHZ_HAZ_TOTAMOUNT,78,1)="",INDEX(IHZ_HAZ_DPGREF,78,1)="",INDEX(IHZ_HAZ_CONSIGNMENT,78,1)="",),FALSE,TRUE),TRUE)</f>
        <v>1</v>
      </c>
      <c r="H85" s="237" t="str">
        <f t="shared" si="3"/>
        <v>Row 78 - All mandatory fields must be given</v>
      </c>
      <c r="I85" s="236" t="s">
        <v>1853</v>
      </c>
      <c r="J85" s="52" t="b">
        <f>IF(OR(INDEX(OHZ_HAZ_CONSIGNMENT,78,1)&lt;&gt;"",INDEX(OHZ_HAZ_TRANSDOCID,78,1)&lt;&gt;"",INDEX(OHZ_HAZ_PORTOFLOADING,78,1)&lt;&gt;"",INDEX(OHZ_HAZ_PORTOFDISCHARGE,78,1)&lt;&gt;"",INDEX(OHZ_HAZ_DPGREF,78,1)&lt;&gt;"",INDEX(OHZ_HAZ_DGCLASSIFI,78,1)&lt;&gt;"",INDEX(OHZ_HAZ_TEXTUALREF,78,1)&lt;&gt;"",INDEX(OHZ_HAZ_IMOHAZARDC,78,1)&lt;&gt;"",INDEX(OHZ_HAZ_UNNUMBER,78,1)&lt;&gt;"",INDEX(OHZ_HAZ_TOTAMOUNT,78,1)&lt;&gt;"",INDEX(OHZ_HAZ_PACKINGGRO,78,1)&lt;&gt;"",INDEX(OHZ_HAZ_FLASHPOINT,78,1)&lt;&gt;"",INDEX(OHZ_HAZ_MARPOLCODE,78,1)&lt;&gt;"",INDEX(OHZ_HAZ_PACTYPE,78,1)&lt;&gt;"",INDEX(OHZ_HAZ_TOTALPACKA,78,1)&lt;&gt;"",INDEX(OHZ_HAZ_ADDITIONAL,78,1)&lt;&gt;"",INDEX(OHZ_HAZ_EMS,78,1)&lt;&gt;"",INDEX(OHZ_HAZ_SUBSIDIARY,78,1)&lt;&gt;"",INDEX(OHZ_HAZ_UNITTYPE,78,1)&lt;&gt;"",INDEX(OHZ_HAZ_TEUID,78,1)&lt;&gt;"",INDEX(OHZ_HAZ_LOCATION,78,1)&lt;&gt;"",INDEX(OHZ_HAZ_PACKAGES,78,1)&lt;&gt;"",INDEX(OHZ_HAZ_AMOUNT,78,1)&lt;&gt;"",),IF(OR(INDEX(OHZ_HAZ_DGCLASSIFI,78,1)="",INDEX(OHZ_HAZ_TEXTUALREF,78,1)="",INDEX(OHZ_HAZ_TOTAMOUNT,78,1)="",INDEX(OHZ_HAZ_DPGREF,78,1)="",INDEX(OHZ_HAZ_CONSIGNMENT,78,1)="",),FALSE,TRUE),TRUE)</f>
        <v>1</v>
      </c>
      <c r="K85" s="237" t="str">
        <f t="shared" si="4"/>
        <v>Row 78 - All mandatory fields must be given</v>
      </c>
      <c r="L85" s="236" t="s">
        <v>1853</v>
      </c>
      <c r="R85" s="52"/>
      <c r="S85" s="52"/>
      <c r="T85" s="52" t="s">
        <v>2170</v>
      </c>
      <c r="V85" s="52"/>
    </row>
    <row r="86" spans="1:22">
      <c r="F86" s="236" t="s">
        <v>1853</v>
      </c>
      <c r="G86" s="250" t="b">
        <f>IF(OR(INDEX(IHZ_HAZ_CONSIGNMENT,79,1)&lt;&gt;"",INDEX(IHZ_HAZ_TRANSDOCID,79,1)&lt;&gt;"",INDEX(IHZ_HAZ_PORTOFLOADING,79,1)&lt;&gt;"",INDEX(IHZ_HAZ_PORTOFDISCHARGE,79,1)&lt;&gt;"",INDEX(IHZ_HAZ_DPGREF,79,1)&lt;&gt;"",INDEX(IHZ_HAZ_DGCLASSIFI,79,1)&lt;&gt;"",INDEX(IHZ_HAZ_TEXTUALREF,79,1)&lt;&gt;"",INDEX(IHZ_HAZ_IMOHAZARDC,79,1)&lt;&gt;"",INDEX(IHZ_HAZ_UNNUMBER,79,1)&lt;&gt;"",INDEX(IHZ_HAZ_TOTAMOUNT,79,1)&lt;&gt;"",INDEX(IHZ_HAZ_PACKINGGRO,79,1)&lt;&gt;"",INDEX(IHZ_HAZ_FLASHPOINT,79,1)&lt;&gt;"",INDEX(IHZ_HAZ_MARPOLCODE,79,1)&lt;&gt;"",INDEX(IHZ_HAZ_PACTYPE,79,1)&lt;&gt;"",INDEX(IHZ_HAZ_TOTALPACKA,79,1)&lt;&gt;"",INDEX(IHZ_HAZ_ADDITIONAL,79,1)&lt;&gt;"",INDEX(IHZ_HAZ_EMS,79,1)&lt;&gt;"",INDEX(IHZ_HAZ_SUBSIDIARY,79,1)&lt;&gt;"",INDEX(IHZ_HAZ_UNITTYPE,79,1)&lt;&gt;"",INDEX(IHZ_HAZ_TEUID,79,1)&lt;&gt;"",INDEX(IHZ_HAZ_LOCATION,79,1)&lt;&gt;"",INDEX(IHZ_HAZ_PACKAGES,79,1)&lt;&gt;"",INDEX(IHZ_HAZ_AMOUNT,79,1)&lt;&gt;"",),IF(OR(INDEX(IHZ_HAZ_DGCLASSIFI,79,1)="",INDEX(IHZ_HAZ_TEXTUALREF,79,1)="",INDEX(IHZ_HAZ_TOTAMOUNT,79,1)="",INDEX(IHZ_HAZ_DPGREF,79,1)="",INDEX(IHZ_HAZ_CONSIGNMENT,79,1)="",),FALSE,TRUE),TRUE)</f>
        <v>1</v>
      </c>
      <c r="H86" s="237" t="str">
        <f t="shared" si="3"/>
        <v>Row 79 - All mandatory fields must be given</v>
      </c>
      <c r="I86" s="236" t="s">
        <v>1853</v>
      </c>
      <c r="J86" s="52" t="b">
        <f>IF(OR(INDEX(OHZ_HAZ_CONSIGNMENT,79,1)&lt;&gt;"",INDEX(OHZ_HAZ_TRANSDOCID,79,1)&lt;&gt;"",INDEX(OHZ_HAZ_PORTOFLOADING,79,1)&lt;&gt;"",INDEX(OHZ_HAZ_PORTOFDISCHARGE,79,1)&lt;&gt;"",INDEX(OHZ_HAZ_DPGREF,79,1)&lt;&gt;"",INDEX(OHZ_HAZ_DGCLASSIFI,79,1)&lt;&gt;"",INDEX(OHZ_HAZ_TEXTUALREF,79,1)&lt;&gt;"",INDEX(OHZ_HAZ_IMOHAZARDC,79,1)&lt;&gt;"",INDEX(OHZ_HAZ_UNNUMBER,79,1)&lt;&gt;"",INDEX(OHZ_HAZ_TOTAMOUNT,79,1)&lt;&gt;"",INDEX(OHZ_HAZ_PACKINGGRO,79,1)&lt;&gt;"",INDEX(OHZ_HAZ_FLASHPOINT,79,1)&lt;&gt;"",INDEX(OHZ_HAZ_MARPOLCODE,79,1)&lt;&gt;"",INDEX(OHZ_HAZ_PACTYPE,79,1)&lt;&gt;"",INDEX(OHZ_HAZ_TOTALPACKA,79,1)&lt;&gt;"",INDEX(OHZ_HAZ_ADDITIONAL,79,1)&lt;&gt;"",INDEX(OHZ_HAZ_EMS,79,1)&lt;&gt;"",INDEX(OHZ_HAZ_SUBSIDIARY,79,1)&lt;&gt;"",INDEX(OHZ_HAZ_UNITTYPE,79,1)&lt;&gt;"",INDEX(OHZ_HAZ_TEUID,79,1)&lt;&gt;"",INDEX(OHZ_HAZ_LOCATION,79,1)&lt;&gt;"",INDEX(OHZ_HAZ_PACKAGES,79,1)&lt;&gt;"",INDEX(OHZ_HAZ_AMOUNT,79,1)&lt;&gt;"",),IF(OR(INDEX(OHZ_HAZ_DGCLASSIFI,79,1)="",INDEX(OHZ_HAZ_TEXTUALREF,79,1)="",INDEX(OHZ_HAZ_TOTAMOUNT,79,1)="",INDEX(OHZ_HAZ_DPGREF,79,1)="",INDEX(OHZ_HAZ_CONSIGNMENT,79,1)="",),FALSE,TRUE),TRUE)</f>
        <v>1</v>
      </c>
      <c r="K86" s="237" t="str">
        <f t="shared" si="4"/>
        <v>Row 79 - All mandatory fields must be given</v>
      </c>
      <c r="L86" s="236" t="s">
        <v>1853</v>
      </c>
      <c r="R86" s="52"/>
      <c r="S86" s="52"/>
      <c r="T86" s="52" t="s">
        <v>2171</v>
      </c>
      <c r="V86" s="52"/>
    </row>
    <row r="87" spans="1:22">
      <c r="F87" s="236" t="s">
        <v>1853</v>
      </c>
      <c r="G87" s="250" t="b">
        <f>IF(OR(INDEX(IHZ_HAZ_CONSIGNMENT,80,1)&lt;&gt;"",INDEX(IHZ_HAZ_TRANSDOCID,80,1)&lt;&gt;"",INDEX(IHZ_HAZ_PORTOFLOADING,80,1)&lt;&gt;"",INDEX(IHZ_HAZ_PORTOFDISCHARGE,80,1)&lt;&gt;"",INDEX(IHZ_HAZ_DPGREF,80,1)&lt;&gt;"",INDEX(IHZ_HAZ_DGCLASSIFI,80,1)&lt;&gt;"",INDEX(IHZ_HAZ_TEXTUALREF,80,1)&lt;&gt;"",INDEX(IHZ_HAZ_IMOHAZARDC,80,1)&lt;&gt;"",INDEX(IHZ_HAZ_UNNUMBER,80,1)&lt;&gt;"",INDEX(IHZ_HAZ_TOTAMOUNT,80,1)&lt;&gt;"",INDEX(IHZ_HAZ_PACKINGGRO,80,1)&lt;&gt;"",INDEX(IHZ_HAZ_FLASHPOINT,80,1)&lt;&gt;"",INDEX(IHZ_HAZ_MARPOLCODE,80,1)&lt;&gt;"",INDEX(IHZ_HAZ_PACTYPE,80,1)&lt;&gt;"",INDEX(IHZ_HAZ_TOTALPACKA,80,1)&lt;&gt;"",INDEX(IHZ_HAZ_ADDITIONAL,80,1)&lt;&gt;"",INDEX(IHZ_HAZ_EMS,80,1)&lt;&gt;"",INDEX(IHZ_HAZ_SUBSIDIARY,80,1)&lt;&gt;"",INDEX(IHZ_HAZ_UNITTYPE,80,1)&lt;&gt;"",INDEX(IHZ_HAZ_TEUID,80,1)&lt;&gt;"",INDEX(IHZ_HAZ_LOCATION,80,1)&lt;&gt;"",INDEX(IHZ_HAZ_PACKAGES,80,1)&lt;&gt;"",INDEX(IHZ_HAZ_AMOUNT,80,1)&lt;&gt;"",),IF(OR(INDEX(IHZ_HAZ_DGCLASSIFI,80,1)="",INDEX(IHZ_HAZ_TEXTUALREF,80,1)="",INDEX(IHZ_HAZ_TOTAMOUNT,80,1)="",INDEX(IHZ_HAZ_DPGREF,80,1)="",INDEX(IHZ_HAZ_CONSIGNMENT,80,1)="",),FALSE,TRUE),TRUE)</f>
        <v>1</v>
      </c>
      <c r="H87" s="237" t="str">
        <f t="shared" si="3"/>
        <v>Row 80 - All mandatory fields must be given</v>
      </c>
      <c r="I87" s="236" t="s">
        <v>1853</v>
      </c>
      <c r="J87" s="52" t="b">
        <f>IF(OR(INDEX(OHZ_HAZ_CONSIGNMENT,80,1)&lt;&gt;"",INDEX(OHZ_HAZ_TRANSDOCID,80,1)&lt;&gt;"",INDEX(OHZ_HAZ_PORTOFLOADING,80,1)&lt;&gt;"",INDEX(OHZ_HAZ_PORTOFDISCHARGE,80,1)&lt;&gt;"",INDEX(OHZ_HAZ_DPGREF,80,1)&lt;&gt;"",INDEX(OHZ_HAZ_DGCLASSIFI,80,1)&lt;&gt;"",INDEX(OHZ_HAZ_TEXTUALREF,80,1)&lt;&gt;"",INDEX(OHZ_HAZ_IMOHAZARDC,80,1)&lt;&gt;"",INDEX(OHZ_HAZ_UNNUMBER,80,1)&lt;&gt;"",INDEX(OHZ_HAZ_TOTAMOUNT,80,1)&lt;&gt;"",INDEX(OHZ_HAZ_PACKINGGRO,80,1)&lt;&gt;"",INDEX(OHZ_HAZ_FLASHPOINT,80,1)&lt;&gt;"",INDEX(OHZ_HAZ_MARPOLCODE,80,1)&lt;&gt;"",INDEX(OHZ_HAZ_PACTYPE,80,1)&lt;&gt;"",INDEX(OHZ_HAZ_TOTALPACKA,80,1)&lt;&gt;"",INDEX(OHZ_HAZ_ADDITIONAL,80,1)&lt;&gt;"",INDEX(OHZ_HAZ_EMS,80,1)&lt;&gt;"",INDEX(OHZ_HAZ_SUBSIDIARY,80,1)&lt;&gt;"",INDEX(OHZ_HAZ_UNITTYPE,80,1)&lt;&gt;"",INDEX(OHZ_HAZ_TEUID,80,1)&lt;&gt;"",INDEX(OHZ_HAZ_LOCATION,80,1)&lt;&gt;"",INDEX(OHZ_HAZ_PACKAGES,80,1)&lt;&gt;"",INDEX(OHZ_HAZ_AMOUNT,80,1)&lt;&gt;"",),IF(OR(INDEX(OHZ_HAZ_DGCLASSIFI,80,1)="",INDEX(OHZ_HAZ_TEXTUALREF,80,1)="",INDEX(OHZ_HAZ_TOTAMOUNT,80,1)="",INDEX(OHZ_HAZ_DPGREF,80,1)="",INDEX(OHZ_HAZ_CONSIGNMENT,80,1)="",),FALSE,TRUE),TRUE)</f>
        <v>1</v>
      </c>
      <c r="K87" s="237" t="str">
        <f t="shared" si="4"/>
        <v>Row 80 - All mandatory fields must be given</v>
      </c>
      <c r="L87" s="236" t="s">
        <v>1853</v>
      </c>
      <c r="R87" s="52"/>
      <c r="S87" s="52"/>
      <c r="T87" s="52" t="s">
        <v>2172</v>
      </c>
      <c r="V87" s="52"/>
    </row>
    <row r="88" spans="1:22">
      <c r="F88" s="236" t="s">
        <v>1853</v>
      </c>
      <c r="G88" s="250" t="b">
        <f>IF(OR(INDEX(IHZ_HAZ_CONSIGNMENT,81,1)&lt;&gt;"",INDEX(IHZ_HAZ_TRANSDOCID,81,1)&lt;&gt;"",INDEX(IHZ_HAZ_PORTOFLOADING,81,1)&lt;&gt;"",INDEX(IHZ_HAZ_PORTOFDISCHARGE,81,1)&lt;&gt;"",INDEX(IHZ_HAZ_DPGREF,81,1)&lt;&gt;"",INDEX(IHZ_HAZ_DGCLASSIFI,81,1)&lt;&gt;"",INDEX(IHZ_HAZ_TEXTUALREF,81,1)&lt;&gt;"",INDEX(IHZ_HAZ_IMOHAZARDC,81,1)&lt;&gt;"",INDEX(IHZ_HAZ_UNNUMBER,81,1)&lt;&gt;"",INDEX(IHZ_HAZ_TOTAMOUNT,81,1)&lt;&gt;"",INDEX(IHZ_HAZ_PACKINGGRO,81,1)&lt;&gt;"",INDEX(IHZ_HAZ_FLASHPOINT,81,1)&lt;&gt;"",INDEX(IHZ_HAZ_MARPOLCODE,81,1)&lt;&gt;"",INDEX(IHZ_HAZ_PACTYPE,81,1)&lt;&gt;"",INDEX(IHZ_HAZ_TOTALPACKA,81,1)&lt;&gt;"",INDEX(IHZ_HAZ_ADDITIONAL,81,1)&lt;&gt;"",INDEX(IHZ_HAZ_EMS,81,1)&lt;&gt;"",INDEX(IHZ_HAZ_SUBSIDIARY,81,1)&lt;&gt;"",INDEX(IHZ_HAZ_UNITTYPE,81,1)&lt;&gt;"",INDEX(IHZ_HAZ_TEUID,81,1)&lt;&gt;"",INDEX(IHZ_HAZ_LOCATION,81,1)&lt;&gt;"",INDEX(IHZ_HAZ_PACKAGES,81,1)&lt;&gt;"",INDEX(IHZ_HAZ_AMOUNT,81,1)&lt;&gt;"",),IF(OR(INDEX(IHZ_HAZ_DGCLASSIFI,81,1)="",INDEX(IHZ_HAZ_TEXTUALREF,81,1)="",INDEX(IHZ_HAZ_TOTAMOUNT,81,1)="",INDEX(IHZ_HAZ_DPGREF,81,1)="",INDEX(IHZ_HAZ_CONSIGNMENT,81,1)="",),FALSE,TRUE),TRUE)</f>
        <v>1</v>
      </c>
      <c r="H88" s="237" t="str">
        <f t="shared" si="3"/>
        <v>Row 81 - All mandatory fields must be given</v>
      </c>
      <c r="I88" s="236" t="s">
        <v>1853</v>
      </c>
      <c r="J88" s="52" t="b">
        <f>IF(OR(INDEX(OHZ_HAZ_CONSIGNMENT,81,1)&lt;&gt;"",INDEX(OHZ_HAZ_TRANSDOCID,81,1)&lt;&gt;"",INDEX(OHZ_HAZ_PORTOFLOADING,81,1)&lt;&gt;"",INDEX(OHZ_HAZ_PORTOFDISCHARGE,81,1)&lt;&gt;"",INDEX(OHZ_HAZ_DPGREF,81,1)&lt;&gt;"",INDEX(OHZ_HAZ_DGCLASSIFI,81,1)&lt;&gt;"",INDEX(OHZ_HAZ_TEXTUALREF,81,1)&lt;&gt;"",INDEX(OHZ_HAZ_IMOHAZARDC,81,1)&lt;&gt;"",INDEX(OHZ_HAZ_UNNUMBER,81,1)&lt;&gt;"",INDEX(OHZ_HAZ_TOTAMOUNT,81,1)&lt;&gt;"",INDEX(OHZ_HAZ_PACKINGGRO,81,1)&lt;&gt;"",INDEX(OHZ_HAZ_FLASHPOINT,81,1)&lt;&gt;"",INDEX(OHZ_HAZ_MARPOLCODE,81,1)&lt;&gt;"",INDEX(OHZ_HAZ_PACTYPE,81,1)&lt;&gt;"",INDEX(OHZ_HAZ_TOTALPACKA,81,1)&lt;&gt;"",INDEX(OHZ_HAZ_ADDITIONAL,81,1)&lt;&gt;"",INDEX(OHZ_HAZ_EMS,81,1)&lt;&gt;"",INDEX(OHZ_HAZ_SUBSIDIARY,81,1)&lt;&gt;"",INDEX(OHZ_HAZ_UNITTYPE,81,1)&lt;&gt;"",INDEX(OHZ_HAZ_TEUID,81,1)&lt;&gt;"",INDEX(OHZ_HAZ_LOCATION,81,1)&lt;&gt;"",INDEX(OHZ_HAZ_PACKAGES,81,1)&lt;&gt;"",INDEX(OHZ_HAZ_AMOUNT,81,1)&lt;&gt;"",),IF(OR(INDEX(OHZ_HAZ_DGCLASSIFI,81,1)="",INDEX(OHZ_HAZ_TEXTUALREF,81,1)="",INDEX(OHZ_HAZ_TOTAMOUNT,81,1)="",INDEX(OHZ_HAZ_DPGREF,81,1)="",INDEX(OHZ_HAZ_CONSIGNMENT,81,1)="",),FALSE,TRUE),TRUE)</f>
        <v>1</v>
      </c>
      <c r="K88" s="237" t="str">
        <f t="shared" si="4"/>
        <v>Row 81 - All mandatory fields must be given</v>
      </c>
      <c r="L88" s="236" t="s">
        <v>1853</v>
      </c>
      <c r="R88" s="52"/>
      <c r="S88" s="52"/>
      <c r="T88" s="52" t="s">
        <v>2173</v>
      </c>
      <c r="V88" s="52"/>
    </row>
    <row r="89" spans="1:22">
      <c r="F89" s="236" t="s">
        <v>1853</v>
      </c>
      <c r="G89" s="250" t="b">
        <f>IF(OR(INDEX(IHZ_HAZ_CONSIGNMENT,82,1)&lt;&gt;"",INDEX(IHZ_HAZ_TRANSDOCID,82,1)&lt;&gt;"",INDEX(IHZ_HAZ_PORTOFLOADING,82,1)&lt;&gt;"",INDEX(IHZ_HAZ_PORTOFDISCHARGE,82,1)&lt;&gt;"",INDEX(IHZ_HAZ_DPGREF,82,1)&lt;&gt;"",INDEX(IHZ_HAZ_DGCLASSIFI,82,1)&lt;&gt;"",INDEX(IHZ_HAZ_TEXTUALREF,82,1)&lt;&gt;"",INDEX(IHZ_HAZ_IMOHAZARDC,82,1)&lt;&gt;"",INDEX(IHZ_HAZ_UNNUMBER,82,1)&lt;&gt;"",INDEX(IHZ_HAZ_TOTAMOUNT,82,1)&lt;&gt;"",INDEX(IHZ_HAZ_PACKINGGRO,82,1)&lt;&gt;"",INDEX(IHZ_HAZ_FLASHPOINT,82,1)&lt;&gt;"",INDEX(IHZ_HAZ_MARPOLCODE,82,1)&lt;&gt;"",INDEX(IHZ_HAZ_PACTYPE,82,1)&lt;&gt;"",INDEX(IHZ_HAZ_TOTALPACKA,82,1)&lt;&gt;"",INDEX(IHZ_HAZ_ADDITIONAL,82,1)&lt;&gt;"",INDEX(IHZ_HAZ_EMS,82,1)&lt;&gt;"",INDEX(IHZ_HAZ_SUBSIDIARY,82,1)&lt;&gt;"",INDEX(IHZ_HAZ_UNITTYPE,82,1)&lt;&gt;"",INDEX(IHZ_HAZ_TEUID,82,1)&lt;&gt;"",INDEX(IHZ_HAZ_LOCATION,82,1)&lt;&gt;"",INDEX(IHZ_HAZ_PACKAGES,82,1)&lt;&gt;"",INDEX(IHZ_HAZ_AMOUNT,82,1)&lt;&gt;"",),IF(OR(INDEX(IHZ_HAZ_DGCLASSIFI,82,1)="",INDEX(IHZ_HAZ_TEXTUALREF,82,1)="",INDEX(IHZ_HAZ_TOTAMOUNT,82,1)="",INDEX(IHZ_HAZ_DPGREF,82,1)="",INDEX(IHZ_HAZ_CONSIGNMENT,82,1)="",),FALSE,TRUE),TRUE)</f>
        <v>1</v>
      </c>
      <c r="H89" s="237" t="str">
        <f t="shared" si="3"/>
        <v>Row 82 - All mandatory fields must be given</v>
      </c>
      <c r="I89" s="236" t="s">
        <v>1853</v>
      </c>
      <c r="J89" s="52" t="b">
        <f>IF(OR(INDEX(OHZ_HAZ_CONSIGNMENT,82,1)&lt;&gt;"",INDEX(OHZ_HAZ_TRANSDOCID,82,1)&lt;&gt;"",INDEX(OHZ_HAZ_PORTOFLOADING,82,1)&lt;&gt;"",INDEX(OHZ_HAZ_PORTOFDISCHARGE,82,1)&lt;&gt;"",INDEX(OHZ_HAZ_DPGREF,82,1)&lt;&gt;"",INDEX(OHZ_HAZ_DGCLASSIFI,82,1)&lt;&gt;"",INDEX(OHZ_HAZ_TEXTUALREF,82,1)&lt;&gt;"",INDEX(OHZ_HAZ_IMOHAZARDC,82,1)&lt;&gt;"",INDEX(OHZ_HAZ_UNNUMBER,82,1)&lt;&gt;"",INDEX(OHZ_HAZ_TOTAMOUNT,82,1)&lt;&gt;"",INDEX(OHZ_HAZ_PACKINGGRO,82,1)&lt;&gt;"",INDEX(OHZ_HAZ_FLASHPOINT,82,1)&lt;&gt;"",INDEX(OHZ_HAZ_MARPOLCODE,82,1)&lt;&gt;"",INDEX(OHZ_HAZ_PACTYPE,82,1)&lt;&gt;"",INDEX(OHZ_HAZ_TOTALPACKA,82,1)&lt;&gt;"",INDEX(OHZ_HAZ_ADDITIONAL,82,1)&lt;&gt;"",INDEX(OHZ_HAZ_EMS,82,1)&lt;&gt;"",INDEX(OHZ_HAZ_SUBSIDIARY,82,1)&lt;&gt;"",INDEX(OHZ_HAZ_UNITTYPE,82,1)&lt;&gt;"",INDEX(OHZ_HAZ_TEUID,82,1)&lt;&gt;"",INDEX(OHZ_HAZ_LOCATION,82,1)&lt;&gt;"",INDEX(OHZ_HAZ_PACKAGES,82,1)&lt;&gt;"",INDEX(OHZ_HAZ_AMOUNT,82,1)&lt;&gt;"",),IF(OR(INDEX(OHZ_HAZ_DGCLASSIFI,82,1)="",INDEX(OHZ_HAZ_TEXTUALREF,82,1)="",INDEX(OHZ_HAZ_TOTAMOUNT,82,1)="",INDEX(OHZ_HAZ_DPGREF,82,1)="",INDEX(OHZ_HAZ_CONSIGNMENT,82,1)="",),FALSE,TRUE),TRUE)</f>
        <v>1</v>
      </c>
      <c r="K89" s="237" t="str">
        <f t="shared" si="4"/>
        <v>Row 82 - All mandatory fields must be given</v>
      </c>
      <c r="L89" s="236" t="s">
        <v>1853</v>
      </c>
      <c r="R89" s="52"/>
      <c r="S89" s="52"/>
      <c r="T89" s="52" t="s">
        <v>2174</v>
      </c>
      <c r="V89" s="52"/>
    </row>
    <row r="90" spans="1:22">
      <c r="F90" s="236" t="s">
        <v>1853</v>
      </c>
      <c r="G90" s="250" t="b">
        <f>IF(OR(INDEX(IHZ_HAZ_CONSIGNMENT,83,1)&lt;&gt;"",INDEX(IHZ_HAZ_TRANSDOCID,83,1)&lt;&gt;"",INDEX(IHZ_HAZ_PORTOFLOADING,83,1)&lt;&gt;"",INDEX(IHZ_HAZ_PORTOFDISCHARGE,83,1)&lt;&gt;"",INDEX(IHZ_HAZ_DPGREF,83,1)&lt;&gt;"",INDEX(IHZ_HAZ_DGCLASSIFI,83,1)&lt;&gt;"",INDEX(IHZ_HAZ_TEXTUALREF,83,1)&lt;&gt;"",INDEX(IHZ_HAZ_IMOHAZARDC,83,1)&lt;&gt;"",INDEX(IHZ_HAZ_UNNUMBER,83,1)&lt;&gt;"",INDEX(IHZ_HAZ_TOTAMOUNT,83,1)&lt;&gt;"",INDEX(IHZ_HAZ_PACKINGGRO,83,1)&lt;&gt;"",INDEX(IHZ_HAZ_FLASHPOINT,83,1)&lt;&gt;"",INDEX(IHZ_HAZ_MARPOLCODE,83,1)&lt;&gt;"",INDEX(IHZ_HAZ_PACTYPE,83,1)&lt;&gt;"",INDEX(IHZ_HAZ_TOTALPACKA,83,1)&lt;&gt;"",INDEX(IHZ_HAZ_ADDITIONAL,83,1)&lt;&gt;"",INDEX(IHZ_HAZ_EMS,83,1)&lt;&gt;"",INDEX(IHZ_HAZ_SUBSIDIARY,83,1)&lt;&gt;"",INDEX(IHZ_HAZ_UNITTYPE,83,1)&lt;&gt;"",INDEX(IHZ_HAZ_TEUID,83,1)&lt;&gt;"",INDEX(IHZ_HAZ_LOCATION,83,1)&lt;&gt;"",INDEX(IHZ_HAZ_PACKAGES,83,1)&lt;&gt;"",INDEX(IHZ_HAZ_AMOUNT,83,1)&lt;&gt;"",),IF(OR(INDEX(IHZ_HAZ_DGCLASSIFI,83,1)="",INDEX(IHZ_HAZ_TEXTUALREF,83,1)="",INDEX(IHZ_HAZ_TOTAMOUNT,83,1)="",INDEX(IHZ_HAZ_DPGREF,83,1)="",INDEX(IHZ_HAZ_CONSIGNMENT,83,1)="",),FALSE,TRUE),TRUE)</f>
        <v>1</v>
      </c>
      <c r="H90" s="237" t="str">
        <f t="shared" si="3"/>
        <v>Row 83 - All mandatory fields must be given</v>
      </c>
      <c r="I90" s="236" t="s">
        <v>1853</v>
      </c>
      <c r="J90" s="52" t="b">
        <f>IF(OR(INDEX(OHZ_HAZ_CONSIGNMENT,83,1)&lt;&gt;"",INDEX(OHZ_HAZ_TRANSDOCID,83,1)&lt;&gt;"",INDEX(OHZ_HAZ_PORTOFLOADING,83,1)&lt;&gt;"",INDEX(OHZ_HAZ_PORTOFDISCHARGE,83,1)&lt;&gt;"",INDEX(OHZ_HAZ_DPGREF,83,1)&lt;&gt;"",INDEX(OHZ_HAZ_DGCLASSIFI,83,1)&lt;&gt;"",INDEX(OHZ_HAZ_TEXTUALREF,83,1)&lt;&gt;"",INDEX(OHZ_HAZ_IMOHAZARDC,83,1)&lt;&gt;"",INDEX(OHZ_HAZ_UNNUMBER,83,1)&lt;&gt;"",INDEX(OHZ_HAZ_TOTAMOUNT,83,1)&lt;&gt;"",INDEX(OHZ_HAZ_PACKINGGRO,83,1)&lt;&gt;"",INDEX(OHZ_HAZ_FLASHPOINT,83,1)&lt;&gt;"",INDEX(OHZ_HAZ_MARPOLCODE,83,1)&lt;&gt;"",INDEX(OHZ_HAZ_PACTYPE,83,1)&lt;&gt;"",INDEX(OHZ_HAZ_TOTALPACKA,83,1)&lt;&gt;"",INDEX(OHZ_HAZ_ADDITIONAL,83,1)&lt;&gt;"",INDEX(OHZ_HAZ_EMS,83,1)&lt;&gt;"",INDEX(OHZ_HAZ_SUBSIDIARY,83,1)&lt;&gt;"",INDEX(OHZ_HAZ_UNITTYPE,83,1)&lt;&gt;"",INDEX(OHZ_HAZ_TEUID,83,1)&lt;&gt;"",INDEX(OHZ_HAZ_LOCATION,83,1)&lt;&gt;"",INDEX(OHZ_HAZ_PACKAGES,83,1)&lt;&gt;"",INDEX(OHZ_HAZ_AMOUNT,83,1)&lt;&gt;"",),IF(OR(INDEX(OHZ_HAZ_DGCLASSIFI,83,1)="",INDEX(OHZ_HAZ_TEXTUALREF,83,1)="",INDEX(OHZ_HAZ_TOTAMOUNT,83,1)="",INDEX(OHZ_HAZ_DPGREF,83,1)="",INDEX(OHZ_HAZ_CONSIGNMENT,83,1)="",),FALSE,TRUE),TRUE)</f>
        <v>1</v>
      </c>
      <c r="K90" s="237" t="str">
        <f t="shared" si="4"/>
        <v>Row 83 - All mandatory fields must be given</v>
      </c>
      <c r="L90" s="236" t="s">
        <v>1853</v>
      </c>
      <c r="R90" s="52"/>
      <c r="S90" s="52"/>
      <c r="T90" s="52" t="s">
        <v>2175</v>
      </c>
      <c r="V90" s="52"/>
    </row>
    <row r="91" spans="1:22">
      <c r="F91" s="236" t="s">
        <v>1853</v>
      </c>
      <c r="G91" s="250" t="b">
        <f>IF(OR(INDEX(IHZ_HAZ_CONSIGNMENT,84,1)&lt;&gt;"",INDEX(IHZ_HAZ_TRANSDOCID,84,1)&lt;&gt;"",INDEX(IHZ_HAZ_PORTOFLOADING,84,1)&lt;&gt;"",INDEX(IHZ_HAZ_PORTOFDISCHARGE,84,1)&lt;&gt;"",INDEX(IHZ_HAZ_DPGREF,84,1)&lt;&gt;"",INDEX(IHZ_HAZ_DGCLASSIFI,84,1)&lt;&gt;"",INDEX(IHZ_HAZ_TEXTUALREF,84,1)&lt;&gt;"",INDEX(IHZ_HAZ_IMOHAZARDC,84,1)&lt;&gt;"",INDEX(IHZ_HAZ_UNNUMBER,84,1)&lt;&gt;"",INDEX(IHZ_HAZ_TOTAMOUNT,84,1)&lt;&gt;"",INDEX(IHZ_HAZ_PACKINGGRO,84,1)&lt;&gt;"",INDEX(IHZ_HAZ_FLASHPOINT,84,1)&lt;&gt;"",INDEX(IHZ_HAZ_MARPOLCODE,84,1)&lt;&gt;"",INDEX(IHZ_HAZ_PACTYPE,84,1)&lt;&gt;"",INDEX(IHZ_HAZ_TOTALPACKA,84,1)&lt;&gt;"",INDEX(IHZ_HAZ_ADDITIONAL,84,1)&lt;&gt;"",INDEX(IHZ_HAZ_EMS,84,1)&lt;&gt;"",INDEX(IHZ_HAZ_SUBSIDIARY,84,1)&lt;&gt;"",INDEX(IHZ_HAZ_UNITTYPE,84,1)&lt;&gt;"",INDEX(IHZ_HAZ_TEUID,84,1)&lt;&gt;"",INDEX(IHZ_HAZ_LOCATION,84,1)&lt;&gt;"",INDEX(IHZ_HAZ_PACKAGES,84,1)&lt;&gt;"",INDEX(IHZ_HAZ_AMOUNT,84,1)&lt;&gt;"",),IF(OR(INDEX(IHZ_HAZ_DGCLASSIFI,84,1)="",INDEX(IHZ_HAZ_TEXTUALREF,84,1)="",INDEX(IHZ_HAZ_TOTAMOUNT,84,1)="",INDEX(IHZ_HAZ_DPGREF,84,1)="",INDEX(IHZ_HAZ_CONSIGNMENT,84,1)="",),FALSE,TRUE),TRUE)</f>
        <v>1</v>
      </c>
      <c r="H91" s="237" t="str">
        <f t="shared" si="3"/>
        <v>Row 84 - All mandatory fields must be given</v>
      </c>
      <c r="I91" s="236" t="s">
        <v>1853</v>
      </c>
      <c r="J91" s="52" t="b">
        <f>IF(OR(INDEX(OHZ_HAZ_CONSIGNMENT,84,1)&lt;&gt;"",INDEX(OHZ_HAZ_TRANSDOCID,84,1)&lt;&gt;"",INDEX(OHZ_HAZ_PORTOFLOADING,84,1)&lt;&gt;"",INDEX(OHZ_HAZ_PORTOFDISCHARGE,84,1)&lt;&gt;"",INDEX(OHZ_HAZ_DPGREF,84,1)&lt;&gt;"",INDEX(OHZ_HAZ_DGCLASSIFI,84,1)&lt;&gt;"",INDEX(OHZ_HAZ_TEXTUALREF,84,1)&lt;&gt;"",INDEX(OHZ_HAZ_IMOHAZARDC,84,1)&lt;&gt;"",INDEX(OHZ_HAZ_UNNUMBER,84,1)&lt;&gt;"",INDEX(OHZ_HAZ_TOTAMOUNT,84,1)&lt;&gt;"",INDEX(OHZ_HAZ_PACKINGGRO,84,1)&lt;&gt;"",INDEX(OHZ_HAZ_FLASHPOINT,84,1)&lt;&gt;"",INDEX(OHZ_HAZ_MARPOLCODE,84,1)&lt;&gt;"",INDEX(OHZ_HAZ_PACTYPE,84,1)&lt;&gt;"",INDEX(OHZ_HAZ_TOTALPACKA,84,1)&lt;&gt;"",INDEX(OHZ_HAZ_ADDITIONAL,84,1)&lt;&gt;"",INDEX(OHZ_HAZ_EMS,84,1)&lt;&gt;"",INDEX(OHZ_HAZ_SUBSIDIARY,84,1)&lt;&gt;"",INDEX(OHZ_HAZ_UNITTYPE,84,1)&lt;&gt;"",INDEX(OHZ_HAZ_TEUID,84,1)&lt;&gt;"",INDEX(OHZ_HAZ_LOCATION,84,1)&lt;&gt;"",INDEX(OHZ_HAZ_PACKAGES,84,1)&lt;&gt;"",INDEX(OHZ_HAZ_AMOUNT,84,1)&lt;&gt;"",),IF(OR(INDEX(OHZ_HAZ_DGCLASSIFI,84,1)="",INDEX(OHZ_HAZ_TEXTUALREF,84,1)="",INDEX(OHZ_HAZ_TOTAMOUNT,84,1)="",INDEX(OHZ_HAZ_DPGREF,84,1)="",INDEX(OHZ_HAZ_CONSIGNMENT,84,1)="",),FALSE,TRUE),TRUE)</f>
        <v>1</v>
      </c>
      <c r="K91" s="237" t="str">
        <f t="shared" si="4"/>
        <v>Row 84 - All mandatory fields must be given</v>
      </c>
      <c r="L91" s="236" t="s">
        <v>1853</v>
      </c>
      <c r="R91" s="52"/>
      <c r="S91" s="52"/>
      <c r="T91" s="52" t="s">
        <v>2176</v>
      </c>
      <c r="V91" s="52"/>
    </row>
    <row r="92" spans="1:22">
      <c r="F92" s="236" t="s">
        <v>1853</v>
      </c>
      <c r="G92" s="250" t="b">
        <f>IF(OR(INDEX(IHZ_HAZ_CONSIGNMENT,85,1)&lt;&gt;"",INDEX(IHZ_HAZ_TRANSDOCID,85,1)&lt;&gt;"",INDEX(IHZ_HAZ_PORTOFLOADING,85,1)&lt;&gt;"",INDEX(IHZ_HAZ_PORTOFDISCHARGE,85,1)&lt;&gt;"",INDEX(IHZ_HAZ_DPGREF,85,1)&lt;&gt;"",INDEX(IHZ_HAZ_DGCLASSIFI,85,1)&lt;&gt;"",INDEX(IHZ_HAZ_TEXTUALREF,85,1)&lt;&gt;"",INDEX(IHZ_HAZ_IMOHAZARDC,85,1)&lt;&gt;"",INDEX(IHZ_HAZ_UNNUMBER,85,1)&lt;&gt;"",INDEX(IHZ_HAZ_TOTAMOUNT,85,1)&lt;&gt;"",INDEX(IHZ_HAZ_PACKINGGRO,85,1)&lt;&gt;"",INDEX(IHZ_HAZ_FLASHPOINT,85,1)&lt;&gt;"",INDEX(IHZ_HAZ_MARPOLCODE,85,1)&lt;&gt;"",INDEX(IHZ_HAZ_PACTYPE,85,1)&lt;&gt;"",INDEX(IHZ_HAZ_TOTALPACKA,85,1)&lt;&gt;"",INDEX(IHZ_HAZ_ADDITIONAL,85,1)&lt;&gt;"",INDEX(IHZ_HAZ_EMS,85,1)&lt;&gt;"",INDEX(IHZ_HAZ_SUBSIDIARY,85,1)&lt;&gt;"",INDEX(IHZ_HAZ_UNITTYPE,85,1)&lt;&gt;"",INDEX(IHZ_HAZ_TEUID,85,1)&lt;&gt;"",INDEX(IHZ_HAZ_LOCATION,85,1)&lt;&gt;"",INDEX(IHZ_HAZ_PACKAGES,85,1)&lt;&gt;"",INDEX(IHZ_HAZ_AMOUNT,85,1)&lt;&gt;"",),IF(OR(INDEX(IHZ_HAZ_DGCLASSIFI,85,1)="",INDEX(IHZ_HAZ_TEXTUALREF,85,1)="",INDEX(IHZ_HAZ_TOTAMOUNT,85,1)="",INDEX(IHZ_HAZ_DPGREF,85,1)="",INDEX(IHZ_HAZ_CONSIGNMENT,85,1)="",),FALSE,TRUE),TRUE)</f>
        <v>1</v>
      </c>
      <c r="H92" s="237" t="str">
        <f t="shared" si="3"/>
        <v>Row 85 - All mandatory fields must be given</v>
      </c>
      <c r="I92" s="236" t="s">
        <v>1853</v>
      </c>
      <c r="J92" s="52" t="b">
        <f>IF(OR(INDEX(OHZ_HAZ_CONSIGNMENT,85,1)&lt;&gt;"",INDEX(OHZ_HAZ_TRANSDOCID,85,1)&lt;&gt;"",INDEX(OHZ_HAZ_PORTOFLOADING,85,1)&lt;&gt;"",INDEX(OHZ_HAZ_PORTOFDISCHARGE,85,1)&lt;&gt;"",INDEX(OHZ_HAZ_DPGREF,85,1)&lt;&gt;"",INDEX(OHZ_HAZ_DGCLASSIFI,85,1)&lt;&gt;"",INDEX(OHZ_HAZ_TEXTUALREF,85,1)&lt;&gt;"",INDEX(OHZ_HAZ_IMOHAZARDC,85,1)&lt;&gt;"",INDEX(OHZ_HAZ_UNNUMBER,85,1)&lt;&gt;"",INDEX(OHZ_HAZ_TOTAMOUNT,85,1)&lt;&gt;"",INDEX(OHZ_HAZ_PACKINGGRO,85,1)&lt;&gt;"",INDEX(OHZ_HAZ_FLASHPOINT,85,1)&lt;&gt;"",INDEX(OHZ_HAZ_MARPOLCODE,85,1)&lt;&gt;"",INDEX(OHZ_HAZ_PACTYPE,85,1)&lt;&gt;"",INDEX(OHZ_HAZ_TOTALPACKA,85,1)&lt;&gt;"",INDEX(OHZ_HAZ_ADDITIONAL,85,1)&lt;&gt;"",INDEX(OHZ_HAZ_EMS,85,1)&lt;&gt;"",INDEX(OHZ_HAZ_SUBSIDIARY,85,1)&lt;&gt;"",INDEX(OHZ_HAZ_UNITTYPE,85,1)&lt;&gt;"",INDEX(OHZ_HAZ_TEUID,85,1)&lt;&gt;"",INDEX(OHZ_HAZ_LOCATION,85,1)&lt;&gt;"",INDEX(OHZ_HAZ_PACKAGES,85,1)&lt;&gt;"",INDEX(OHZ_HAZ_AMOUNT,85,1)&lt;&gt;"",),IF(OR(INDEX(OHZ_HAZ_DGCLASSIFI,85,1)="",INDEX(OHZ_HAZ_TEXTUALREF,85,1)="",INDEX(OHZ_HAZ_TOTAMOUNT,85,1)="",INDEX(OHZ_HAZ_DPGREF,85,1)="",INDEX(OHZ_HAZ_CONSIGNMENT,85,1)="",),FALSE,TRUE),TRUE)</f>
        <v>1</v>
      </c>
      <c r="K92" s="237" t="str">
        <f t="shared" si="4"/>
        <v>Row 85 - All mandatory fields must be given</v>
      </c>
      <c r="L92" s="236" t="s">
        <v>1853</v>
      </c>
      <c r="R92" s="52"/>
      <c r="S92" s="52"/>
      <c r="T92" s="52" t="s">
        <v>2177</v>
      </c>
      <c r="V92" s="52"/>
    </row>
    <row r="93" spans="1:22">
      <c r="F93" s="236" t="s">
        <v>1853</v>
      </c>
      <c r="G93" s="250" t="b">
        <f>IF(OR(INDEX(IHZ_HAZ_CONSIGNMENT,86,1)&lt;&gt;"",INDEX(IHZ_HAZ_TRANSDOCID,86,1)&lt;&gt;"",INDEX(IHZ_HAZ_PORTOFLOADING,86,1)&lt;&gt;"",INDEX(IHZ_HAZ_PORTOFDISCHARGE,86,1)&lt;&gt;"",INDEX(IHZ_HAZ_DPGREF,86,1)&lt;&gt;"",INDEX(IHZ_HAZ_DGCLASSIFI,86,1)&lt;&gt;"",INDEX(IHZ_HAZ_TEXTUALREF,86,1)&lt;&gt;"",INDEX(IHZ_HAZ_IMOHAZARDC,86,1)&lt;&gt;"",INDEX(IHZ_HAZ_UNNUMBER,86,1)&lt;&gt;"",INDEX(IHZ_HAZ_TOTAMOUNT,86,1)&lt;&gt;"",INDEX(IHZ_HAZ_PACKINGGRO,86,1)&lt;&gt;"",INDEX(IHZ_HAZ_FLASHPOINT,86,1)&lt;&gt;"",INDEX(IHZ_HAZ_MARPOLCODE,86,1)&lt;&gt;"",INDEX(IHZ_HAZ_PACTYPE,86,1)&lt;&gt;"",INDEX(IHZ_HAZ_TOTALPACKA,86,1)&lt;&gt;"",INDEX(IHZ_HAZ_ADDITIONAL,86,1)&lt;&gt;"",INDEX(IHZ_HAZ_EMS,86,1)&lt;&gt;"",INDEX(IHZ_HAZ_SUBSIDIARY,86,1)&lt;&gt;"",INDEX(IHZ_HAZ_UNITTYPE,86,1)&lt;&gt;"",INDEX(IHZ_HAZ_TEUID,86,1)&lt;&gt;"",INDEX(IHZ_HAZ_LOCATION,86,1)&lt;&gt;"",INDEX(IHZ_HAZ_PACKAGES,86,1)&lt;&gt;"",INDEX(IHZ_HAZ_AMOUNT,86,1)&lt;&gt;"",),IF(OR(INDEX(IHZ_HAZ_DGCLASSIFI,86,1)="",INDEX(IHZ_HAZ_TEXTUALREF,86,1)="",INDEX(IHZ_HAZ_TOTAMOUNT,86,1)="",INDEX(IHZ_HAZ_DPGREF,86,1)="",INDEX(IHZ_HAZ_CONSIGNMENT,86,1)="",),FALSE,TRUE),TRUE)</f>
        <v>1</v>
      </c>
      <c r="H93" s="237" t="str">
        <f t="shared" si="3"/>
        <v>Row 86 - All mandatory fields must be given</v>
      </c>
      <c r="I93" s="236" t="s">
        <v>1853</v>
      </c>
      <c r="J93" s="52" t="b">
        <f>IF(OR(INDEX(OHZ_HAZ_CONSIGNMENT,86,1)&lt;&gt;"",INDEX(OHZ_HAZ_TRANSDOCID,86,1)&lt;&gt;"",INDEX(OHZ_HAZ_PORTOFLOADING,86,1)&lt;&gt;"",INDEX(OHZ_HAZ_PORTOFDISCHARGE,86,1)&lt;&gt;"",INDEX(OHZ_HAZ_DPGREF,86,1)&lt;&gt;"",INDEX(OHZ_HAZ_DGCLASSIFI,86,1)&lt;&gt;"",INDEX(OHZ_HAZ_TEXTUALREF,86,1)&lt;&gt;"",INDEX(OHZ_HAZ_IMOHAZARDC,86,1)&lt;&gt;"",INDEX(OHZ_HAZ_UNNUMBER,86,1)&lt;&gt;"",INDEX(OHZ_HAZ_TOTAMOUNT,86,1)&lt;&gt;"",INDEX(OHZ_HAZ_PACKINGGRO,86,1)&lt;&gt;"",INDEX(OHZ_HAZ_FLASHPOINT,86,1)&lt;&gt;"",INDEX(OHZ_HAZ_MARPOLCODE,86,1)&lt;&gt;"",INDEX(OHZ_HAZ_PACTYPE,86,1)&lt;&gt;"",INDEX(OHZ_HAZ_TOTALPACKA,86,1)&lt;&gt;"",INDEX(OHZ_HAZ_ADDITIONAL,86,1)&lt;&gt;"",INDEX(OHZ_HAZ_EMS,86,1)&lt;&gt;"",INDEX(OHZ_HAZ_SUBSIDIARY,86,1)&lt;&gt;"",INDEX(OHZ_HAZ_UNITTYPE,86,1)&lt;&gt;"",INDEX(OHZ_HAZ_TEUID,86,1)&lt;&gt;"",INDEX(OHZ_HAZ_LOCATION,86,1)&lt;&gt;"",INDEX(OHZ_HAZ_PACKAGES,86,1)&lt;&gt;"",INDEX(OHZ_HAZ_AMOUNT,86,1)&lt;&gt;"",),IF(OR(INDEX(OHZ_HAZ_DGCLASSIFI,86,1)="",INDEX(OHZ_HAZ_TEXTUALREF,86,1)="",INDEX(OHZ_HAZ_TOTAMOUNT,86,1)="",INDEX(OHZ_HAZ_DPGREF,86,1)="",INDEX(OHZ_HAZ_CONSIGNMENT,86,1)="",),FALSE,TRUE),TRUE)</f>
        <v>1</v>
      </c>
      <c r="K93" s="237" t="str">
        <f t="shared" si="4"/>
        <v>Row 86 - All mandatory fields must be given</v>
      </c>
      <c r="L93" s="236" t="s">
        <v>1853</v>
      </c>
      <c r="R93" s="52"/>
      <c r="S93" s="52"/>
      <c r="T93" s="52" t="s">
        <v>2178</v>
      </c>
      <c r="V93" s="52"/>
    </row>
    <row r="94" spans="1:22">
      <c r="F94" s="236" t="s">
        <v>1853</v>
      </c>
      <c r="G94" s="250" t="b">
        <f>IF(OR(INDEX(IHZ_HAZ_CONSIGNMENT,87,1)&lt;&gt;"",INDEX(IHZ_HAZ_TRANSDOCID,87,1)&lt;&gt;"",INDEX(IHZ_HAZ_PORTOFLOADING,87,1)&lt;&gt;"",INDEX(IHZ_HAZ_PORTOFDISCHARGE,87,1)&lt;&gt;"",INDEX(IHZ_HAZ_DPGREF,87,1)&lt;&gt;"",INDEX(IHZ_HAZ_DGCLASSIFI,87,1)&lt;&gt;"",INDEX(IHZ_HAZ_TEXTUALREF,87,1)&lt;&gt;"",INDEX(IHZ_HAZ_IMOHAZARDC,87,1)&lt;&gt;"",INDEX(IHZ_HAZ_UNNUMBER,87,1)&lt;&gt;"",INDEX(IHZ_HAZ_TOTAMOUNT,87,1)&lt;&gt;"",INDEX(IHZ_HAZ_PACKINGGRO,87,1)&lt;&gt;"",INDEX(IHZ_HAZ_FLASHPOINT,87,1)&lt;&gt;"",INDEX(IHZ_HAZ_MARPOLCODE,87,1)&lt;&gt;"",INDEX(IHZ_HAZ_PACTYPE,87,1)&lt;&gt;"",INDEX(IHZ_HAZ_TOTALPACKA,87,1)&lt;&gt;"",INDEX(IHZ_HAZ_ADDITIONAL,87,1)&lt;&gt;"",INDEX(IHZ_HAZ_EMS,87,1)&lt;&gt;"",INDEX(IHZ_HAZ_SUBSIDIARY,87,1)&lt;&gt;"",INDEX(IHZ_HAZ_UNITTYPE,87,1)&lt;&gt;"",INDEX(IHZ_HAZ_TEUID,87,1)&lt;&gt;"",INDEX(IHZ_HAZ_LOCATION,87,1)&lt;&gt;"",INDEX(IHZ_HAZ_PACKAGES,87,1)&lt;&gt;"",INDEX(IHZ_HAZ_AMOUNT,87,1)&lt;&gt;"",),IF(OR(INDEX(IHZ_HAZ_DGCLASSIFI,87,1)="",INDEX(IHZ_HAZ_TEXTUALREF,87,1)="",INDEX(IHZ_HAZ_TOTAMOUNT,87,1)="",INDEX(IHZ_HAZ_DPGREF,87,1)="",INDEX(IHZ_HAZ_CONSIGNMENT,87,1)="",),FALSE,TRUE),TRUE)</f>
        <v>1</v>
      </c>
      <c r="H94" s="237" t="str">
        <f t="shared" si="3"/>
        <v>Row 87 - All mandatory fields must be given</v>
      </c>
      <c r="I94" s="236" t="s">
        <v>1853</v>
      </c>
      <c r="J94" s="52" t="b">
        <f>IF(OR(INDEX(OHZ_HAZ_CONSIGNMENT,87,1)&lt;&gt;"",INDEX(OHZ_HAZ_TRANSDOCID,87,1)&lt;&gt;"",INDEX(OHZ_HAZ_PORTOFLOADING,87,1)&lt;&gt;"",INDEX(OHZ_HAZ_PORTOFDISCHARGE,87,1)&lt;&gt;"",INDEX(OHZ_HAZ_DPGREF,87,1)&lt;&gt;"",INDEX(OHZ_HAZ_DGCLASSIFI,87,1)&lt;&gt;"",INDEX(OHZ_HAZ_TEXTUALREF,87,1)&lt;&gt;"",INDEX(OHZ_HAZ_IMOHAZARDC,87,1)&lt;&gt;"",INDEX(OHZ_HAZ_UNNUMBER,87,1)&lt;&gt;"",INDEX(OHZ_HAZ_TOTAMOUNT,87,1)&lt;&gt;"",INDEX(OHZ_HAZ_PACKINGGRO,87,1)&lt;&gt;"",INDEX(OHZ_HAZ_FLASHPOINT,87,1)&lt;&gt;"",INDEX(OHZ_HAZ_MARPOLCODE,87,1)&lt;&gt;"",INDEX(OHZ_HAZ_PACTYPE,87,1)&lt;&gt;"",INDEX(OHZ_HAZ_TOTALPACKA,87,1)&lt;&gt;"",INDEX(OHZ_HAZ_ADDITIONAL,87,1)&lt;&gt;"",INDEX(OHZ_HAZ_EMS,87,1)&lt;&gt;"",INDEX(OHZ_HAZ_SUBSIDIARY,87,1)&lt;&gt;"",INDEX(OHZ_HAZ_UNITTYPE,87,1)&lt;&gt;"",INDEX(OHZ_HAZ_TEUID,87,1)&lt;&gt;"",INDEX(OHZ_HAZ_LOCATION,87,1)&lt;&gt;"",INDEX(OHZ_HAZ_PACKAGES,87,1)&lt;&gt;"",INDEX(OHZ_HAZ_AMOUNT,87,1)&lt;&gt;"",),IF(OR(INDEX(OHZ_HAZ_DGCLASSIFI,87,1)="",INDEX(OHZ_HAZ_TEXTUALREF,87,1)="",INDEX(OHZ_HAZ_TOTAMOUNT,87,1)="",INDEX(OHZ_HAZ_DPGREF,87,1)="",INDEX(OHZ_HAZ_CONSIGNMENT,87,1)="",),FALSE,TRUE),TRUE)</f>
        <v>1</v>
      </c>
      <c r="K94" s="237" t="str">
        <f t="shared" si="4"/>
        <v>Row 87 - All mandatory fields must be given</v>
      </c>
      <c r="L94" s="236" t="s">
        <v>1853</v>
      </c>
      <c r="R94" s="52"/>
      <c r="S94" s="52"/>
      <c r="T94" s="52" t="s">
        <v>2179</v>
      </c>
      <c r="V94" s="52"/>
    </row>
    <row r="95" spans="1:22">
      <c r="F95" s="236" t="s">
        <v>1853</v>
      </c>
      <c r="G95" s="250" t="b">
        <f>IF(OR(INDEX(IHZ_HAZ_CONSIGNMENT,88,1)&lt;&gt;"",INDEX(IHZ_HAZ_TRANSDOCID,88,1)&lt;&gt;"",INDEX(IHZ_HAZ_PORTOFLOADING,88,1)&lt;&gt;"",INDEX(IHZ_HAZ_PORTOFDISCHARGE,88,1)&lt;&gt;"",INDEX(IHZ_HAZ_DPGREF,88,1)&lt;&gt;"",INDEX(IHZ_HAZ_DGCLASSIFI,88,1)&lt;&gt;"",INDEX(IHZ_HAZ_TEXTUALREF,88,1)&lt;&gt;"",INDEX(IHZ_HAZ_IMOHAZARDC,88,1)&lt;&gt;"",INDEX(IHZ_HAZ_UNNUMBER,88,1)&lt;&gt;"",INDEX(IHZ_HAZ_TOTAMOUNT,88,1)&lt;&gt;"",INDEX(IHZ_HAZ_PACKINGGRO,88,1)&lt;&gt;"",INDEX(IHZ_HAZ_FLASHPOINT,88,1)&lt;&gt;"",INDEX(IHZ_HAZ_MARPOLCODE,88,1)&lt;&gt;"",INDEX(IHZ_HAZ_PACTYPE,88,1)&lt;&gt;"",INDEX(IHZ_HAZ_TOTALPACKA,88,1)&lt;&gt;"",INDEX(IHZ_HAZ_ADDITIONAL,88,1)&lt;&gt;"",INDEX(IHZ_HAZ_EMS,88,1)&lt;&gt;"",INDEX(IHZ_HAZ_SUBSIDIARY,88,1)&lt;&gt;"",INDEX(IHZ_HAZ_UNITTYPE,88,1)&lt;&gt;"",INDEX(IHZ_HAZ_TEUID,88,1)&lt;&gt;"",INDEX(IHZ_HAZ_LOCATION,88,1)&lt;&gt;"",INDEX(IHZ_HAZ_PACKAGES,88,1)&lt;&gt;"",INDEX(IHZ_HAZ_AMOUNT,88,1)&lt;&gt;"",),IF(OR(INDEX(IHZ_HAZ_DGCLASSIFI,88,1)="",INDEX(IHZ_HAZ_TEXTUALREF,88,1)="",INDEX(IHZ_HAZ_TOTAMOUNT,88,1)="",INDEX(IHZ_HAZ_DPGREF,88,1)="",INDEX(IHZ_HAZ_CONSIGNMENT,88,1)="",),FALSE,TRUE),TRUE)</f>
        <v>1</v>
      </c>
      <c r="H95" s="237" t="str">
        <f t="shared" si="3"/>
        <v>Row 88 - All mandatory fields must be given</v>
      </c>
      <c r="I95" s="236" t="s">
        <v>1853</v>
      </c>
      <c r="J95" s="52" t="b">
        <f>IF(OR(INDEX(OHZ_HAZ_CONSIGNMENT,88,1)&lt;&gt;"",INDEX(OHZ_HAZ_TRANSDOCID,88,1)&lt;&gt;"",INDEX(OHZ_HAZ_PORTOFLOADING,88,1)&lt;&gt;"",INDEX(OHZ_HAZ_PORTOFDISCHARGE,88,1)&lt;&gt;"",INDEX(OHZ_HAZ_DPGREF,88,1)&lt;&gt;"",INDEX(OHZ_HAZ_DGCLASSIFI,88,1)&lt;&gt;"",INDEX(OHZ_HAZ_TEXTUALREF,88,1)&lt;&gt;"",INDEX(OHZ_HAZ_IMOHAZARDC,88,1)&lt;&gt;"",INDEX(OHZ_HAZ_UNNUMBER,88,1)&lt;&gt;"",INDEX(OHZ_HAZ_TOTAMOUNT,88,1)&lt;&gt;"",INDEX(OHZ_HAZ_PACKINGGRO,88,1)&lt;&gt;"",INDEX(OHZ_HAZ_FLASHPOINT,88,1)&lt;&gt;"",INDEX(OHZ_HAZ_MARPOLCODE,88,1)&lt;&gt;"",INDEX(OHZ_HAZ_PACTYPE,88,1)&lt;&gt;"",INDEX(OHZ_HAZ_TOTALPACKA,88,1)&lt;&gt;"",INDEX(OHZ_HAZ_ADDITIONAL,88,1)&lt;&gt;"",INDEX(OHZ_HAZ_EMS,88,1)&lt;&gt;"",INDEX(OHZ_HAZ_SUBSIDIARY,88,1)&lt;&gt;"",INDEX(OHZ_HAZ_UNITTYPE,88,1)&lt;&gt;"",INDEX(OHZ_HAZ_TEUID,88,1)&lt;&gt;"",INDEX(OHZ_HAZ_LOCATION,88,1)&lt;&gt;"",INDEX(OHZ_HAZ_PACKAGES,88,1)&lt;&gt;"",INDEX(OHZ_HAZ_AMOUNT,88,1)&lt;&gt;"",),IF(OR(INDEX(OHZ_HAZ_DGCLASSIFI,88,1)="",INDEX(OHZ_HAZ_TEXTUALREF,88,1)="",INDEX(OHZ_HAZ_TOTAMOUNT,88,1)="",INDEX(OHZ_HAZ_DPGREF,88,1)="",INDEX(OHZ_HAZ_CONSIGNMENT,88,1)="",),FALSE,TRUE),TRUE)</f>
        <v>1</v>
      </c>
      <c r="K95" s="237" t="str">
        <f t="shared" si="4"/>
        <v>Row 88 - All mandatory fields must be given</v>
      </c>
      <c r="L95" s="236" t="s">
        <v>1853</v>
      </c>
      <c r="R95" s="52"/>
      <c r="S95" s="52"/>
      <c r="T95" s="52" t="s">
        <v>2180</v>
      </c>
      <c r="V95" s="52"/>
    </row>
    <row r="96" spans="1:22">
      <c r="F96" s="236" t="s">
        <v>1853</v>
      </c>
      <c r="G96" s="250" t="b">
        <f>IF(OR(INDEX(IHZ_HAZ_CONSIGNMENT,89,1)&lt;&gt;"",INDEX(IHZ_HAZ_TRANSDOCID,89,1)&lt;&gt;"",INDEX(IHZ_HAZ_PORTOFLOADING,89,1)&lt;&gt;"",INDEX(IHZ_HAZ_PORTOFDISCHARGE,89,1)&lt;&gt;"",INDEX(IHZ_HAZ_DPGREF,89,1)&lt;&gt;"",INDEX(IHZ_HAZ_DGCLASSIFI,89,1)&lt;&gt;"",INDEX(IHZ_HAZ_TEXTUALREF,89,1)&lt;&gt;"",INDEX(IHZ_HAZ_IMOHAZARDC,89,1)&lt;&gt;"",INDEX(IHZ_HAZ_UNNUMBER,89,1)&lt;&gt;"",INDEX(IHZ_HAZ_TOTAMOUNT,89,1)&lt;&gt;"",INDEX(IHZ_HAZ_PACKINGGRO,89,1)&lt;&gt;"",INDEX(IHZ_HAZ_FLASHPOINT,89,1)&lt;&gt;"",INDEX(IHZ_HAZ_MARPOLCODE,89,1)&lt;&gt;"",INDEX(IHZ_HAZ_PACTYPE,89,1)&lt;&gt;"",INDEX(IHZ_HAZ_TOTALPACKA,89,1)&lt;&gt;"",INDEX(IHZ_HAZ_ADDITIONAL,89,1)&lt;&gt;"",INDEX(IHZ_HAZ_EMS,89,1)&lt;&gt;"",INDEX(IHZ_HAZ_SUBSIDIARY,89,1)&lt;&gt;"",INDEX(IHZ_HAZ_UNITTYPE,89,1)&lt;&gt;"",INDEX(IHZ_HAZ_TEUID,89,1)&lt;&gt;"",INDEX(IHZ_HAZ_LOCATION,89,1)&lt;&gt;"",INDEX(IHZ_HAZ_PACKAGES,89,1)&lt;&gt;"",INDEX(IHZ_HAZ_AMOUNT,89,1)&lt;&gt;"",),IF(OR(INDEX(IHZ_HAZ_DGCLASSIFI,89,1)="",INDEX(IHZ_HAZ_TEXTUALREF,89,1)="",INDEX(IHZ_HAZ_TOTAMOUNT,89,1)="",INDEX(IHZ_HAZ_DPGREF,89,1)="",INDEX(IHZ_HAZ_CONSIGNMENT,89,1)="",),FALSE,TRUE),TRUE)</f>
        <v>1</v>
      </c>
      <c r="H96" s="237" t="str">
        <f t="shared" si="3"/>
        <v>Row 89 - All mandatory fields must be given</v>
      </c>
      <c r="I96" s="236" t="s">
        <v>1853</v>
      </c>
      <c r="J96" s="52" t="b">
        <f>IF(OR(INDEX(OHZ_HAZ_CONSIGNMENT,89,1)&lt;&gt;"",INDEX(OHZ_HAZ_TRANSDOCID,89,1)&lt;&gt;"",INDEX(OHZ_HAZ_PORTOFLOADING,89,1)&lt;&gt;"",INDEX(OHZ_HAZ_PORTOFDISCHARGE,89,1)&lt;&gt;"",INDEX(OHZ_HAZ_DPGREF,89,1)&lt;&gt;"",INDEX(OHZ_HAZ_DGCLASSIFI,89,1)&lt;&gt;"",INDEX(OHZ_HAZ_TEXTUALREF,89,1)&lt;&gt;"",INDEX(OHZ_HAZ_IMOHAZARDC,89,1)&lt;&gt;"",INDEX(OHZ_HAZ_UNNUMBER,89,1)&lt;&gt;"",INDEX(OHZ_HAZ_TOTAMOUNT,89,1)&lt;&gt;"",INDEX(OHZ_HAZ_PACKINGGRO,89,1)&lt;&gt;"",INDEX(OHZ_HAZ_FLASHPOINT,89,1)&lt;&gt;"",INDEX(OHZ_HAZ_MARPOLCODE,89,1)&lt;&gt;"",INDEX(OHZ_HAZ_PACTYPE,89,1)&lt;&gt;"",INDEX(OHZ_HAZ_TOTALPACKA,89,1)&lt;&gt;"",INDEX(OHZ_HAZ_ADDITIONAL,89,1)&lt;&gt;"",INDEX(OHZ_HAZ_EMS,89,1)&lt;&gt;"",INDEX(OHZ_HAZ_SUBSIDIARY,89,1)&lt;&gt;"",INDEX(OHZ_HAZ_UNITTYPE,89,1)&lt;&gt;"",INDEX(OHZ_HAZ_TEUID,89,1)&lt;&gt;"",INDEX(OHZ_HAZ_LOCATION,89,1)&lt;&gt;"",INDEX(OHZ_HAZ_PACKAGES,89,1)&lt;&gt;"",INDEX(OHZ_HAZ_AMOUNT,89,1)&lt;&gt;"",),IF(OR(INDEX(OHZ_HAZ_DGCLASSIFI,89,1)="",INDEX(OHZ_HAZ_TEXTUALREF,89,1)="",INDEX(OHZ_HAZ_TOTAMOUNT,89,1)="",INDEX(OHZ_HAZ_DPGREF,89,1)="",INDEX(OHZ_HAZ_CONSIGNMENT,89,1)="",),FALSE,TRUE),TRUE)</f>
        <v>1</v>
      </c>
      <c r="K96" s="237" t="str">
        <f t="shared" si="4"/>
        <v>Row 89 - All mandatory fields must be given</v>
      </c>
      <c r="L96" s="236" t="s">
        <v>1853</v>
      </c>
      <c r="R96" s="52"/>
      <c r="S96" s="52"/>
      <c r="T96" s="52" t="s">
        <v>2181</v>
      </c>
      <c r="V96" s="52"/>
    </row>
    <row r="97" spans="4:22">
      <c r="F97" s="236" t="s">
        <v>1853</v>
      </c>
      <c r="G97" s="250" t="b">
        <f>IF(OR(INDEX(IHZ_HAZ_CONSIGNMENT,90,1)&lt;&gt;"",INDEX(IHZ_HAZ_TRANSDOCID,90,1)&lt;&gt;"",INDEX(IHZ_HAZ_PORTOFLOADING,90,1)&lt;&gt;"",INDEX(IHZ_HAZ_PORTOFDISCHARGE,90,1)&lt;&gt;"",INDEX(IHZ_HAZ_DPGREF,90,1)&lt;&gt;"",INDEX(IHZ_HAZ_DGCLASSIFI,90,1)&lt;&gt;"",INDEX(IHZ_HAZ_TEXTUALREF,90,1)&lt;&gt;"",INDEX(IHZ_HAZ_IMOHAZARDC,90,1)&lt;&gt;"",INDEX(IHZ_HAZ_UNNUMBER,90,1)&lt;&gt;"",INDEX(IHZ_HAZ_TOTAMOUNT,90,1)&lt;&gt;"",INDEX(IHZ_HAZ_PACKINGGRO,90,1)&lt;&gt;"",INDEX(IHZ_HAZ_FLASHPOINT,90,1)&lt;&gt;"",INDEX(IHZ_HAZ_MARPOLCODE,90,1)&lt;&gt;"",INDEX(IHZ_HAZ_PACTYPE,90,1)&lt;&gt;"",INDEX(IHZ_HAZ_TOTALPACKA,90,1)&lt;&gt;"",INDEX(IHZ_HAZ_ADDITIONAL,90,1)&lt;&gt;"",INDEX(IHZ_HAZ_EMS,90,1)&lt;&gt;"",INDEX(IHZ_HAZ_SUBSIDIARY,90,1)&lt;&gt;"",INDEX(IHZ_HAZ_UNITTYPE,90,1)&lt;&gt;"",INDEX(IHZ_HAZ_TEUID,90,1)&lt;&gt;"",INDEX(IHZ_HAZ_LOCATION,90,1)&lt;&gt;"",INDEX(IHZ_HAZ_PACKAGES,90,1)&lt;&gt;"",INDEX(IHZ_HAZ_AMOUNT,90,1)&lt;&gt;"",),IF(OR(INDEX(IHZ_HAZ_DGCLASSIFI,90,1)="",INDEX(IHZ_HAZ_TEXTUALREF,90,1)="",INDEX(IHZ_HAZ_TOTAMOUNT,90,1)="",INDEX(IHZ_HAZ_DPGREF,90,1)="",INDEX(IHZ_HAZ_CONSIGNMENT,90,1)="",),FALSE,TRUE),TRUE)</f>
        <v>1</v>
      </c>
      <c r="H97" s="237" t="str">
        <f t="shared" si="3"/>
        <v>Row 90 - All mandatory fields must be given</v>
      </c>
      <c r="I97" s="236" t="s">
        <v>1853</v>
      </c>
      <c r="J97" s="52" t="b">
        <f>IF(OR(INDEX(OHZ_HAZ_CONSIGNMENT,90,1)&lt;&gt;"",INDEX(OHZ_HAZ_TRANSDOCID,90,1)&lt;&gt;"",INDEX(OHZ_HAZ_PORTOFLOADING,90,1)&lt;&gt;"",INDEX(OHZ_HAZ_PORTOFDISCHARGE,90,1)&lt;&gt;"",INDEX(OHZ_HAZ_DPGREF,90,1)&lt;&gt;"",INDEX(OHZ_HAZ_DGCLASSIFI,90,1)&lt;&gt;"",INDEX(OHZ_HAZ_TEXTUALREF,90,1)&lt;&gt;"",INDEX(OHZ_HAZ_IMOHAZARDC,90,1)&lt;&gt;"",INDEX(OHZ_HAZ_UNNUMBER,90,1)&lt;&gt;"",INDEX(OHZ_HAZ_TOTAMOUNT,90,1)&lt;&gt;"",INDEX(OHZ_HAZ_PACKINGGRO,90,1)&lt;&gt;"",INDEX(OHZ_HAZ_FLASHPOINT,90,1)&lt;&gt;"",INDEX(OHZ_HAZ_MARPOLCODE,90,1)&lt;&gt;"",INDEX(OHZ_HAZ_PACTYPE,90,1)&lt;&gt;"",INDEX(OHZ_HAZ_TOTALPACKA,90,1)&lt;&gt;"",INDEX(OHZ_HAZ_ADDITIONAL,90,1)&lt;&gt;"",INDEX(OHZ_HAZ_EMS,90,1)&lt;&gt;"",INDEX(OHZ_HAZ_SUBSIDIARY,90,1)&lt;&gt;"",INDEX(OHZ_HAZ_UNITTYPE,90,1)&lt;&gt;"",INDEX(OHZ_HAZ_TEUID,90,1)&lt;&gt;"",INDEX(OHZ_HAZ_LOCATION,90,1)&lt;&gt;"",INDEX(OHZ_HAZ_PACKAGES,90,1)&lt;&gt;"",INDEX(OHZ_HAZ_AMOUNT,90,1)&lt;&gt;"",),IF(OR(INDEX(OHZ_HAZ_DGCLASSIFI,90,1)="",INDEX(OHZ_HAZ_TEXTUALREF,90,1)="",INDEX(OHZ_HAZ_TOTAMOUNT,90,1)="",INDEX(OHZ_HAZ_DPGREF,90,1)="",INDEX(OHZ_HAZ_CONSIGNMENT,90,1)="",),FALSE,TRUE),TRUE)</f>
        <v>1</v>
      </c>
      <c r="K97" s="237" t="str">
        <f t="shared" si="4"/>
        <v>Row 90 - All mandatory fields must be given</v>
      </c>
      <c r="L97" s="236" t="s">
        <v>1853</v>
      </c>
      <c r="R97" s="52"/>
      <c r="S97" s="52"/>
      <c r="T97" s="52" t="s">
        <v>2182</v>
      </c>
      <c r="V97" s="52"/>
    </row>
    <row r="98" spans="4:22">
      <c r="F98" s="236" t="s">
        <v>1853</v>
      </c>
      <c r="G98" s="250" t="b">
        <f>IF(OR(INDEX(IHZ_HAZ_CONSIGNMENT,91,1)&lt;&gt;"",INDEX(IHZ_HAZ_TRANSDOCID,91,1)&lt;&gt;"",INDEX(IHZ_HAZ_PORTOFLOADING,91,1)&lt;&gt;"",INDEX(IHZ_HAZ_PORTOFDISCHARGE,91,1)&lt;&gt;"",INDEX(IHZ_HAZ_DPGREF,91,1)&lt;&gt;"",INDEX(IHZ_HAZ_DGCLASSIFI,91,1)&lt;&gt;"",INDEX(IHZ_HAZ_TEXTUALREF,91,1)&lt;&gt;"",INDEX(IHZ_HAZ_IMOHAZARDC,91,1)&lt;&gt;"",INDEX(IHZ_HAZ_UNNUMBER,91,1)&lt;&gt;"",INDEX(IHZ_HAZ_TOTAMOUNT,91,1)&lt;&gt;"",INDEX(IHZ_HAZ_PACKINGGRO,91,1)&lt;&gt;"",INDEX(IHZ_HAZ_FLASHPOINT,91,1)&lt;&gt;"",INDEX(IHZ_HAZ_MARPOLCODE,91,1)&lt;&gt;"",INDEX(IHZ_HAZ_PACTYPE,91,1)&lt;&gt;"",INDEX(IHZ_HAZ_TOTALPACKA,91,1)&lt;&gt;"",INDEX(IHZ_HAZ_ADDITIONAL,91,1)&lt;&gt;"",INDEX(IHZ_HAZ_EMS,91,1)&lt;&gt;"",INDEX(IHZ_HAZ_SUBSIDIARY,91,1)&lt;&gt;"",INDEX(IHZ_HAZ_UNITTYPE,91,1)&lt;&gt;"",INDEX(IHZ_HAZ_TEUID,91,1)&lt;&gt;"",INDEX(IHZ_HAZ_LOCATION,91,1)&lt;&gt;"",INDEX(IHZ_HAZ_PACKAGES,91,1)&lt;&gt;"",INDEX(IHZ_HAZ_AMOUNT,91,1)&lt;&gt;"",),IF(OR(INDEX(IHZ_HAZ_DGCLASSIFI,91,1)="",INDEX(IHZ_HAZ_TEXTUALREF,91,1)="",INDEX(IHZ_HAZ_TOTAMOUNT,91,1)="",INDEX(IHZ_HAZ_DPGREF,91,1)="",INDEX(IHZ_HAZ_CONSIGNMENT,91,1)="",),FALSE,TRUE),TRUE)</f>
        <v>1</v>
      </c>
      <c r="H98" s="237" t="str">
        <f t="shared" si="3"/>
        <v>Row 91 - All mandatory fields must be given</v>
      </c>
      <c r="I98" s="236" t="s">
        <v>1853</v>
      </c>
      <c r="J98" s="52" t="b">
        <f>IF(OR(INDEX(OHZ_HAZ_CONSIGNMENT,91,1)&lt;&gt;"",INDEX(OHZ_HAZ_TRANSDOCID,91,1)&lt;&gt;"",INDEX(OHZ_HAZ_PORTOFLOADING,91,1)&lt;&gt;"",INDEX(OHZ_HAZ_PORTOFDISCHARGE,91,1)&lt;&gt;"",INDEX(OHZ_HAZ_DPGREF,91,1)&lt;&gt;"",INDEX(OHZ_HAZ_DGCLASSIFI,91,1)&lt;&gt;"",INDEX(OHZ_HAZ_TEXTUALREF,91,1)&lt;&gt;"",INDEX(OHZ_HAZ_IMOHAZARDC,91,1)&lt;&gt;"",INDEX(OHZ_HAZ_UNNUMBER,91,1)&lt;&gt;"",INDEX(OHZ_HAZ_TOTAMOUNT,91,1)&lt;&gt;"",INDEX(OHZ_HAZ_PACKINGGRO,91,1)&lt;&gt;"",INDEX(OHZ_HAZ_FLASHPOINT,91,1)&lt;&gt;"",INDEX(OHZ_HAZ_MARPOLCODE,91,1)&lt;&gt;"",INDEX(OHZ_HAZ_PACTYPE,91,1)&lt;&gt;"",INDEX(OHZ_HAZ_TOTALPACKA,91,1)&lt;&gt;"",INDEX(OHZ_HAZ_ADDITIONAL,91,1)&lt;&gt;"",INDEX(OHZ_HAZ_EMS,91,1)&lt;&gt;"",INDEX(OHZ_HAZ_SUBSIDIARY,91,1)&lt;&gt;"",INDEX(OHZ_HAZ_UNITTYPE,91,1)&lt;&gt;"",INDEX(OHZ_HAZ_TEUID,91,1)&lt;&gt;"",INDEX(OHZ_HAZ_LOCATION,91,1)&lt;&gt;"",INDEX(OHZ_HAZ_PACKAGES,91,1)&lt;&gt;"",INDEX(OHZ_HAZ_AMOUNT,91,1)&lt;&gt;"",),IF(OR(INDEX(OHZ_HAZ_DGCLASSIFI,91,1)="",INDEX(OHZ_HAZ_TEXTUALREF,91,1)="",INDEX(OHZ_HAZ_TOTAMOUNT,91,1)="",INDEX(OHZ_HAZ_DPGREF,91,1)="",INDEX(OHZ_HAZ_CONSIGNMENT,91,1)="",),FALSE,TRUE),TRUE)</f>
        <v>1</v>
      </c>
      <c r="K98" s="237" t="str">
        <f t="shared" si="4"/>
        <v>Row 91 - All mandatory fields must be given</v>
      </c>
      <c r="L98" s="236" t="s">
        <v>1853</v>
      </c>
      <c r="R98" s="52"/>
      <c r="S98" s="52"/>
      <c r="T98" s="52" t="s">
        <v>2183</v>
      </c>
      <c r="V98" s="52"/>
    </row>
    <row r="99" spans="4:22">
      <c r="F99" s="236" t="s">
        <v>1853</v>
      </c>
      <c r="G99" s="250" t="b">
        <f>IF(OR(INDEX(IHZ_HAZ_CONSIGNMENT,92,1)&lt;&gt;"",INDEX(IHZ_HAZ_TRANSDOCID,92,1)&lt;&gt;"",INDEX(IHZ_HAZ_PORTOFLOADING,92,1)&lt;&gt;"",INDEX(IHZ_HAZ_PORTOFDISCHARGE,92,1)&lt;&gt;"",INDEX(IHZ_HAZ_DPGREF,92,1)&lt;&gt;"",INDEX(IHZ_HAZ_DGCLASSIFI,92,1)&lt;&gt;"",INDEX(IHZ_HAZ_TEXTUALREF,92,1)&lt;&gt;"",INDEX(IHZ_HAZ_IMOHAZARDC,92,1)&lt;&gt;"",INDEX(IHZ_HAZ_UNNUMBER,92,1)&lt;&gt;"",INDEX(IHZ_HAZ_TOTAMOUNT,92,1)&lt;&gt;"",INDEX(IHZ_HAZ_PACKINGGRO,92,1)&lt;&gt;"",INDEX(IHZ_HAZ_FLASHPOINT,92,1)&lt;&gt;"",INDEX(IHZ_HAZ_MARPOLCODE,92,1)&lt;&gt;"",INDEX(IHZ_HAZ_PACTYPE,92,1)&lt;&gt;"",INDEX(IHZ_HAZ_TOTALPACKA,92,1)&lt;&gt;"",INDEX(IHZ_HAZ_ADDITIONAL,92,1)&lt;&gt;"",INDEX(IHZ_HAZ_EMS,92,1)&lt;&gt;"",INDEX(IHZ_HAZ_SUBSIDIARY,92,1)&lt;&gt;"",INDEX(IHZ_HAZ_UNITTYPE,92,1)&lt;&gt;"",INDEX(IHZ_HAZ_TEUID,92,1)&lt;&gt;"",INDEX(IHZ_HAZ_LOCATION,92,1)&lt;&gt;"",INDEX(IHZ_HAZ_PACKAGES,92,1)&lt;&gt;"",INDEX(IHZ_HAZ_AMOUNT,92,1)&lt;&gt;"",),IF(OR(INDEX(IHZ_HAZ_DGCLASSIFI,92,1)="",INDEX(IHZ_HAZ_TEXTUALREF,92,1)="",INDEX(IHZ_HAZ_TOTAMOUNT,92,1)="",INDEX(IHZ_HAZ_DPGREF,92,1)="",INDEX(IHZ_HAZ_CONSIGNMENT,92,1)="",),FALSE,TRUE),TRUE)</f>
        <v>1</v>
      </c>
      <c r="H99" s="237" t="str">
        <f t="shared" si="3"/>
        <v>Row 92 - All mandatory fields must be given</v>
      </c>
      <c r="I99" s="236" t="s">
        <v>1853</v>
      </c>
      <c r="J99" s="52" t="b">
        <f>IF(OR(INDEX(OHZ_HAZ_CONSIGNMENT,92,1)&lt;&gt;"",INDEX(OHZ_HAZ_TRANSDOCID,92,1)&lt;&gt;"",INDEX(OHZ_HAZ_PORTOFLOADING,92,1)&lt;&gt;"",INDEX(OHZ_HAZ_PORTOFDISCHARGE,92,1)&lt;&gt;"",INDEX(OHZ_HAZ_DPGREF,92,1)&lt;&gt;"",INDEX(OHZ_HAZ_DGCLASSIFI,92,1)&lt;&gt;"",INDEX(OHZ_HAZ_TEXTUALREF,92,1)&lt;&gt;"",INDEX(OHZ_HAZ_IMOHAZARDC,92,1)&lt;&gt;"",INDEX(OHZ_HAZ_UNNUMBER,92,1)&lt;&gt;"",INDEX(OHZ_HAZ_TOTAMOUNT,92,1)&lt;&gt;"",INDEX(OHZ_HAZ_PACKINGGRO,92,1)&lt;&gt;"",INDEX(OHZ_HAZ_FLASHPOINT,92,1)&lt;&gt;"",INDEX(OHZ_HAZ_MARPOLCODE,92,1)&lt;&gt;"",INDEX(OHZ_HAZ_PACTYPE,92,1)&lt;&gt;"",INDEX(OHZ_HAZ_TOTALPACKA,92,1)&lt;&gt;"",INDEX(OHZ_HAZ_ADDITIONAL,92,1)&lt;&gt;"",INDEX(OHZ_HAZ_EMS,92,1)&lt;&gt;"",INDEX(OHZ_HAZ_SUBSIDIARY,92,1)&lt;&gt;"",INDEX(OHZ_HAZ_UNITTYPE,92,1)&lt;&gt;"",INDEX(OHZ_HAZ_TEUID,92,1)&lt;&gt;"",INDEX(OHZ_HAZ_LOCATION,92,1)&lt;&gt;"",INDEX(OHZ_HAZ_PACKAGES,92,1)&lt;&gt;"",INDEX(OHZ_HAZ_AMOUNT,92,1)&lt;&gt;"",),IF(OR(INDEX(OHZ_HAZ_DGCLASSIFI,92,1)="",INDEX(OHZ_HAZ_TEXTUALREF,92,1)="",INDEX(OHZ_HAZ_TOTAMOUNT,92,1)="",INDEX(OHZ_HAZ_DPGREF,92,1)="",INDEX(OHZ_HAZ_CONSIGNMENT,92,1)="",),FALSE,TRUE),TRUE)</f>
        <v>1</v>
      </c>
      <c r="K99" s="237" t="str">
        <f t="shared" si="4"/>
        <v>Row 92 - All mandatory fields must be given</v>
      </c>
      <c r="L99" s="236" t="s">
        <v>1853</v>
      </c>
      <c r="R99" s="52"/>
      <c r="S99" s="52"/>
      <c r="T99" s="52" t="s">
        <v>2184</v>
      </c>
      <c r="V99" s="52"/>
    </row>
    <row r="100" spans="4:22">
      <c r="F100" s="236" t="s">
        <v>1853</v>
      </c>
      <c r="G100" s="250" t="b">
        <f>IF(OR(INDEX(IHZ_HAZ_CONSIGNMENT,93,1)&lt;&gt;"",INDEX(IHZ_HAZ_TRANSDOCID,93,1)&lt;&gt;"",INDEX(IHZ_HAZ_PORTOFLOADING,93,1)&lt;&gt;"",INDEX(IHZ_HAZ_PORTOFDISCHARGE,93,1)&lt;&gt;"",INDEX(IHZ_HAZ_DPGREF,93,1)&lt;&gt;"",INDEX(IHZ_HAZ_DGCLASSIFI,93,1)&lt;&gt;"",INDEX(IHZ_HAZ_TEXTUALREF,93,1)&lt;&gt;"",INDEX(IHZ_HAZ_IMOHAZARDC,93,1)&lt;&gt;"",INDEX(IHZ_HAZ_UNNUMBER,93,1)&lt;&gt;"",INDEX(IHZ_HAZ_TOTAMOUNT,93,1)&lt;&gt;"",INDEX(IHZ_HAZ_PACKINGGRO,93,1)&lt;&gt;"",INDEX(IHZ_HAZ_FLASHPOINT,93,1)&lt;&gt;"",INDEX(IHZ_HAZ_MARPOLCODE,93,1)&lt;&gt;"",INDEX(IHZ_HAZ_PACTYPE,93,1)&lt;&gt;"",INDEX(IHZ_HAZ_TOTALPACKA,93,1)&lt;&gt;"",INDEX(IHZ_HAZ_ADDITIONAL,93,1)&lt;&gt;"",INDEX(IHZ_HAZ_EMS,93,1)&lt;&gt;"",INDEX(IHZ_HAZ_SUBSIDIARY,93,1)&lt;&gt;"",INDEX(IHZ_HAZ_UNITTYPE,93,1)&lt;&gt;"",INDEX(IHZ_HAZ_TEUID,93,1)&lt;&gt;"",INDEX(IHZ_HAZ_LOCATION,93,1)&lt;&gt;"",INDEX(IHZ_HAZ_PACKAGES,93,1)&lt;&gt;"",INDEX(IHZ_HAZ_AMOUNT,93,1)&lt;&gt;"",),IF(OR(INDEX(IHZ_HAZ_DGCLASSIFI,93,1)="",INDEX(IHZ_HAZ_TEXTUALREF,93,1)="",INDEX(IHZ_HAZ_TOTAMOUNT,93,1)="",INDEX(IHZ_HAZ_DPGREF,93,1)="",INDEX(IHZ_HAZ_CONSIGNMENT,93,1)="",),FALSE,TRUE),TRUE)</f>
        <v>1</v>
      </c>
      <c r="H100" s="237" t="str">
        <f t="shared" si="3"/>
        <v>Row 93 - All mandatory fields must be given</v>
      </c>
      <c r="I100" s="236" t="s">
        <v>1853</v>
      </c>
      <c r="J100" s="52" t="b">
        <f>IF(OR(INDEX(OHZ_HAZ_CONSIGNMENT,93,1)&lt;&gt;"",INDEX(OHZ_HAZ_TRANSDOCID,93,1)&lt;&gt;"",INDEX(OHZ_HAZ_PORTOFLOADING,93,1)&lt;&gt;"",INDEX(OHZ_HAZ_PORTOFDISCHARGE,93,1)&lt;&gt;"",INDEX(OHZ_HAZ_DPGREF,93,1)&lt;&gt;"",INDEX(OHZ_HAZ_DGCLASSIFI,93,1)&lt;&gt;"",INDEX(OHZ_HAZ_TEXTUALREF,93,1)&lt;&gt;"",INDEX(OHZ_HAZ_IMOHAZARDC,93,1)&lt;&gt;"",INDEX(OHZ_HAZ_UNNUMBER,93,1)&lt;&gt;"",INDEX(OHZ_HAZ_TOTAMOUNT,93,1)&lt;&gt;"",INDEX(OHZ_HAZ_PACKINGGRO,93,1)&lt;&gt;"",INDEX(OHZ_HAZ_FLASHPOINT,93,1)&lt;&gt;"",INDEX(OHZ_HAZ_MARPOLCODE,93,1)&lt;&gt;"",INDEX(OHZ_HAZ_PACTYPE,93,1)&lt;&gt;"",INDEX(OHZ_HAZ_TOTALPACKA,93,1)&lt;&gt;"",INDEX(OHZ_HAZ_ADDITIONAL,93,1)&lt;&gt;"",INDEX(OHZ_HAZ_EMS,93,1)&lt;&gt;"",INDEX(OHZ_HAZ_SUBSIDIARY,93,1)&lt;&gt;"",INDEX(OHZ_HAZ_UNITTYPE,93,1)&lt;&gt;"",INDEX(OHZ_HAZ_TEUID,93,1)&lt;&gt;"",INDEX(OHZ_HAZ_LOCATION,93,1)&lt;&gt;"",INDEX(OHZ_HAZ_PACKAGES,93,1)&lt;&gt;"",INDEX(OHZ_HAZ_AMOUNT,93,1)&lt;&gt;"",),IF(OR(INDEX(OHZ_HAZ_DGCLASSIFI,93,1)="",INDEX(OHZ_HAZ_TEXTUALREF,93,1)="",INDEX(OHZ_HAZ_TOTAMOUNT,93,1)="",INDEX(OHZ_HAZ_DPGREF,93,1)="",INDEX(OHZ_HAZ_CONSIGNMENT,93,1)="",),FALSE,TRUE),TRUE)</f>
        <v>1</v>
      </c>
      <c r="K100" s="237" t="str">
        <f t="shared" si="4"/>
        <v>Row 93 - All mandatory fields must be given</v>
      </c>
      <c r="L100" s="236" t="s">
        <v>1853</v>
      </c>
      <c r="R100" s="52"/>
      <c r="S100" s="52"/>
      <c r="T100" s="52" t="s">
        <v>2185</v>
      </c>
      <c r="V100" s="52"/>
    </row>
    <row r="101" spans="4:22">
      <c r="F101" s="236" t="s">
        <v>1853</v>
      </c>
      <c r="G101" s="250" t="b">
        <f>IF(OR(INDEX(IHZ_HAZ_CONSIGNMENT,94,1)&lt;&gt;"",INDEX(IHZ_HAZ_TRANSDOCID,94,1)&lt;&gt;"",INDEX(IHZ_HAZ_PORTOFLOADING,94,1)&lt;&gt;"",INDEX(IHZ_HAZ_PORTOFDISCHARGE,94,1)&lt;&gt;"",INDEX(IHZ_HAZ_DPGREF,94,1)&lt;&gt;"",INDEX(IHZ_HAZ_DGCLASSIFI,94,1)&lt;&gt;"",INDEX(IHZ_HAZ_TEXTUALREF,94,1)&lt;&gt;"",INDEX(IHZ_HAZ_IMOHAZARDC,94,1)&lt;&gt;"",INDEX(IHZ_HAZ_UNNUMBER,94,1)&lt;&gt;"",INDEX(IHZ_HAZ_TOTAMOUNT,94,1)&lt;&gt;"",INDEX(IHZ_HAZ_PACKINGGRO,94,1)&lt;&gt;"",INDEX(IHZ_HAZ_FLASHPOINT,94,1)&lt;&gt;"",INDEX(IHZ_HAZ_MARPOLCODE,94,1)&lt;&gt;"",INDEX(IHZ_HAZ_PACTYPE,94,1)&lt;&gt;"",INDEX(IHZ_HAZ_TOTALPACKA,94,1)&lt;&gt;"",INDEX(IHZ_HAZ_ADDITIONAL,94,1)&lt;&gt;"",INDEX(IHZ_HAZ_EMS,94,1)&lt;&gt;"",INDEX(IHZ_HAZ_SUBSIDIARY,94,1)&lt;&gt;"",INDEX(IHZ_HAZ_UNITTYPE,94,1)&lt;&gt;"",INDEX(IHZ_HAZ_TEUID,94,1)&lt;&gt;"",INDEX(IHZ_HAZ_LOCATION,94,1)&lt;&gt;"",INDEX(IHZ_HAZ_PACKAGES,94,1)&lt;&gt;"",INDEX(IHZ_HAZ_AMOUNT,94,1)&lt;&gt;"",),IF(OR(INDEX(IHZ_HAZ_DGCLASSIFI,94,1)="",INDEX(IHZ_HAZ_TEXTUALREF,94,1)="",INDEX(IHZ_HAZ_TOTAMOUNT,94,1)="",INDEX(IHZ_HAZ_DPGREF,94,1)="",INDEX(IHZ_HAZ_CONSIGNMENT,94,1)="",),FALSE,TRUE),TRUE)</f>
        <v>1</v>
      </c>
      <c r="H101" s="237" t="str">
        <f t="shared" si="3"/>
        <v>Row 94 - All mandatory fields must be given</v>
      </c>
      <c r="I101" s="236" t="s">
        <v>1853</v>
      </c>
      <c r="J101" s="52" t="b">
        <f>IF(OR(INDEX(OHZ_HAZ_CONSIGNMENT,94,1)&lt;&gt;"",INDEX(OHZ_HAZ_TRANSDOCID,94,1)&lt;&gt;"",INDEX(OHZ_HAZ_PORTOFLOADING,94,1)&lt;&gt;"",INDEX(OHZ_HAZ_PORTOFDISCHARGE,94,1)&lt;&gt;"",INDEX(OHZ_HAZ_DPGREF,94,1)&lt;&gt;"",INDEX(OHZ_HAZ_DGCLASSIFI,94,1)&lt;&gt;"",INDEX(OHZ_HAZ_TEXTUALREF,94,1)&lt;&gt;"",INDEX(OHZ_HAZ_IMOHAZARDC,94,1)&lt;&gt;"",INDEX(OHZ_HAZ_UNNUMBER,94,1)&lt;&gt;"",INDEX(OHZ_HAZ_TOTAMOUNT,94,1)&lt;&gt;"",INDEX(OHZ_HAZ_PACKINGGRO,94,1)&lt;&gt;"",INDEX(OHZ_HAZ_FLASHPOINT,94,1)&lt;&gt;"",INDEX(OHZ_HAZ_MARPOLCODE,94,1)&lt;&gt;"",INDEX(OHZ_HAZ_PACTYPE,94,1)&lt;&gt;"",INDEX(OHZ_HAZ_TOTALPACKA,94,1)&lt;&gt;"",INDEX(OHZ_HAZ_ADDITIONAL,94,1)&lt;&gt;"",INDEX(OHZ_HAZ_EMS,94,1)&lt;&gt;"",INDEX(OHZ_HAZ_SUBSIDIARY,94,1)&lt;&gt;"",INDEX(OHZ_HAZ_UNITTYPE,94,1)&lt;&gt;"",INDEX(OHZ_HAZ_TEUID,94,1)&lt;&gt;"",INDEX(OHZ_HAZ_LOCATION,94,1)&lt;&gt;"",INDEX(OHZ_HAZ_PACKAGES,94,1)&lt;&gt;"",INDEX(OHZ_HAZ_AMOUNT,94,1)&lt;&gt;"",),IF(OR(INDEX(OHZ_HAZ_DGCLASSIFI,94,1)="",INDEX(OHZ_HAZ_TEXTUALREF,94,1)="",INDEX(OHZ_HAZ_TOTAMOUNT,94,1)="",INDEX(OHZ_HAZ_DPGREF,94,1)="",INDEX(OHZ_HAZ_CONSIGNMENT,94,1)="",),FALSE,TRUE),TRUE)</f>
        <v>1</v>
      </c>
      <c r="K101" s="237" t="str">
        <f t="shared" si="4"/>
        <v>Row 94 - All mandatory fields must be given</v>
      </c>
      <c r="L101" s="236" t="s">
        <v>1853</v>
      </c>
      <c r="R101" s="52"/>
      <c r="S101" s="52"/>
      <c r="T101" s="52" t="s">
        <v>2186</v>
      </c>
      <c r="V101" s="52"/>
    </row>
    <row r="102" spans="4:22">
      <c r="F102" s="236" t="s">
        <v>1853</v>
      </c>
      <c r="G102" s="250" t="b">
        <f>IF(OR(INDEX(IHZ_HAZ_CONSIGNMENT,95,1)&lt;&gt;"",INDEX(IHZ_HAZ_TRANSDOCID,95,1)&lt;&gt;"",INDEX(IHZ_HAZ_PORTOFLOADING,95,1)&lt;&gt;"",INDEX(IHZ_HAZ_PORTOFDISCHARGE,95,1)&lt;&gt;"",INDEX(IHZ_HAZ_DPGREF,95,1)&lt;&gt;"",INDEX(IHZ_HAZ_DGCLASSIFI,95,1)&lt;&gt;"",INDEX(IHZ_HAZ_TEXTUALREF,95,1)&lt;&gt;"",INDEX(IHZ_HAZ_IMOHAZARDC,95,1)&lt;&gt;"",INDEX(IHZ_HAZ_UNNUMBER,95,1)&lt;&gt;"",INDEX(IHZ_HAZ_TOTAMOUNT,95,1)&lt;&gt;"",INDEX(IHZ_HAZ_PACKINGGRO,95,1)&lt;&gt;"",INDEX(IHZ_HAZ_FLASHPOINT,95,1)&lt;&gt;"",INDEX(IHZ_HAZ_MARPOLCODE,95,1)&lt;&gt;"",INDEX(IHZ_HAZ_PACTYPE,95,1)&lt;&gt;"",INDEX(IHZ_HAZ_TOTALPACKA,95,1)&lt;&gt;"",INDEX(IHZ_HAZ_ADDITIONAL,95,1)&lt;&gt;"",INDEX(IHZ_HAZ_EMS,95,1)&lt;&gt;"",INDEX(IHZ_HAZ_SUBSIDIARY,95,1)&lt;&gt;"",INDEX(IHZ_HAZ_UNITTYPE,95,1)&lt;&gt;"",INDEX(IHZ_HAZ_TEUID,95,1)&lt;&gt;"",INDEX(IHZ_HAZ_LOCATION,95,1)&lt;&gt;"",INDEX(IHZ_HAZ_PACKAGES,95,1)&lt;&gt;"",INDEX(IHZ_HAZ_AMOUNT,95,1)&lt;&gt;"",),IF(OR(INDEX(IHZ_HAZ_DGCLASSIFI,95,1)="",INDEX(IHZ_HAZ_TEXTUALREF,95,1)="",INDEX(IHZ_HAZ_TOTAMOUNT,95,1)="",INDEX(IHZ_HAZ_DPGREF,95,1)="",INDEX(IHZ_HAZ_CONSIGNMENT,95,1)="",),FALSE,TRUE),TRUE)</f>
        <v>1</v>
      </c>
      <c r="H102" s="237" t="str">
        <f t="shared" si="3"/>
        <v>Row 95 - All mandatory fields must be given</v>
      </c>
      <c r="I102" s="236" t="s">
        <v>1853</v>
      </c>
      <c r="J102" s="52" t="b">
        <f>IF(OR(INDEX(OHZ_HAZ_CONSIGNMENT,95,1)&lt;&gt;"",INDEX(OHZ_HAZ_TRANSDOCID,95,1)&lt;&gt;"",INDEX(OHZ_HAZ_PORTOFLOADING,95,1)&lt;&gt;"",INDEX(OHZ_HAZ_PORTOFDISCHARGE,95,1)&lt;&gt;"",INDEX(OHZ_HAZ_DPGREF,95,1)&lt;&gt;"",INDEX(OHZ_HAZ_DGCLASSIFI,95,1)&lt;&gt;"",INDEX(OHZ_HAZ_TEXTUALREF,95,1)&lt;&gt;"",INDEX(OHZ_HAZ_IMOHAZARDC,95,1)&lt;&gt;"",INDEX(OHZ_HAZ_UNNUMBER,95,1)&lt;&gt;"",INDEX(OHZ_HAZ_TOTAMOUNT,95,1)&lt;&gt;"",INDEX(OHZ_HAZ_PACKINGGRO,95,1)&lt;&gt;"",INDEX(OHZ_HAZ_FLASHPOINT,95,1)&lt;&gt;"",INDEX(OHZ_HAZ_MARPOLCODE,95,1)&lt;&gt;"",INDEX(OHZ_HAZ_PACTYPE,95,1)&lt;&gt;"",INDEX(OHZ_HAZ_TOTALPACKA,95,1)&lt;&gt;"",INDEX(OHZ_HAZ_ADDITIONAL,95,1)&lt;&gt;"",INDEX(OHZ_HAZ_EMS,95,1)&lt;&gt;"",INDEX(OHZ_HAZ_SUBSIDIARY,95,1)&lt;&gt;"",INDEX(OHZ_HAZ_UNITTYPE,95,1)&lt;&gt;"",INDEX(OHZ_HAZ_TEUID,95,1)&lt;&gt;"",INDEX(OHZ_HAZ_LOCATION,95,1)&lt;&gt;"",INDEX(OHZ_HAZ_PACKAGES,95,1)&lt;&gt;"",INDEX(OHZ_HAZ_AMOUNT,95,1)&lt;&gt;"",),IF(OR(INDEX(OHZ_HAZ_DGCLASSIFI,95,1)="",INDEX(OHZ_HAZ_TEXTUALREF,95,1)="",INDEX(OHZ_HAZ_TOTAMOUNT,95,1)="",INDEX(OHZ_HAZ_DPGREF,95,1)="",INDEX(OHZ_HAZ_CONSIGNMENT,95,1)="",),FALSE,TRUE),TRUE)</f>
        <v>1</v>
      </c>
      <c r="K102" s="237" t="str">
        <f t="shared" si="4"/>
        <v>Row 95 - All mandatory fields must be given</v>
      </c>
      <c r="L102" s="236" t="s">
        <v>1853</v>
      </c>
      <c r="R102" s="52"/>
      <c r="S102" s="52"/>
      <c r="T102" s="52" t="s">
        <v>2187</v>
      </c>
      <c r="V102" s="52"/>
    </row>
    <row r="103" spans="4:22">
      <c r="F103" s="236" t="s">
        <v>1853</v>
      </c>
      <c r="G103" s="250" t="b">
        <f>IF(OR(INDEX(IHZ_HAZ_CONSIGNMENT,96,1)&lt;&gt;"",INDEX(IHZ_HAZ_TRANSDOCID,96,1)&lt;&gt;"",INDEX(IHZ_HAZ_PORTOFLOADING,96,1)&lt;&gt;"",INDEX(IHZ_HAZ_PORTOFDISCHARGE,96,1)&lt;&gt;"",INDEX(IHZ_HAZ_DPGREF,96,1)&lt;&gt;"",INDEX(IHZ_HAZ_DGCLASSIFI,96,1)&lt;&gt;"",INDEX(IHZ_HAZ_TEXTUALREF,96,1)&lt;&gt;"",INDEX(IHZ_HAZ_IMOHAZARDC,96,1)&lt;&gt;"",INDEX(IHZ_HAZ_UNNUMBER,96,1)&lt;&gt;"",INDEX(IHZ_HAZ_TOTAMOUNT,96,1)&lt;&gt;"",INDEX(IHZ_HAZ_PACKINGGRO,96,1)&lt;&gt;"",INDEX(IHZ_HAZ_FLASHPOINT,96,1)&lt;&gt;"",INDEX(IHZ_HAZ_MARPOLCODE,96,1)&lt;&gt;"",INDEX(IHZ_HAZ_PACTYPE,96,1)&lt;&gt;"",INDEX(IHZ_HAZ_TOTALPACKA,96,1)&lt;&gt;"",INDEX(IHZ_HAZ_ADDITIONAL,96,1)&lt;&gt;"",INDEX(IHZ_HAZ_EMS,96,1)&lt;&gt;"",INDEX(IHZ_HAZ_SUBSIDIARY,96,1)&lt;&gt;"",INDEX(IHZ_HAZ_UNITTYPE,96,1)&lt;&gt;"",INDEX(IHZ_HAZ_TEUID,96,1)&lt;&gt;"",INDEX(IHZ_HAZ_LOCATION,96,1)&lt;&gt;"",INDEX(IHZ_HAZ_PACKAGES,96,1)&lt;&gt;"",INDEX(IHZ_HAZ_AMOUNT,96,1)&lt;&gt;"",),IF(OR(INDEX(IHZ_HAZ_DGCLASSIFI,96,1)="",INDEX(IHZ_HAZ_TEXTUALREF,96,1)="",INDEX(IHZ_HAZ_TOTAMOUNT,96,1)="",INDEX(IHZ_HAZ_DPGREF,96,1)="",INDEX(IHZ_HAZ_CONSIGNMENT,96,1)="",),FALSE,TRUE),TRUE)</f>
        <v>1</v>
      </c>
      <c r="H103" s="237" t="str">
        <f t="shared" si="3"/>
        <v>Row 96 - All mandatory fields must be given</v>
      </c>
      <c r="I103" s="236" t="s">
        <v>1853</v>
      </c>
      <c r="J103" s="52" t="b">
        <f>IF(OR(INDEX(OHZ_HAZ_CONSIGNMENT,96,1)&lt;&gt;"",INDEX(OHZ_HAZ_TRANSDOCID,96,1)&lt;&gt;"",INDEX(OHZ_HAZ_PORTOFLOADING,96,1)&lt;&gt;"",INDEX(OHZ_HAZ_PORTOFDISCHARGE,96,1)&lt;&gt;"",INDEX(OHZ_HAZ_DPGREF,96,1)&lt;&gt;"",INDEX(OHZ_HAZ_DGCLASSIFI,96,1)&lt;&gt;"",INDEX(OHZ_HAZ_TEXTUALREF,96,1)&lt;&gt;"",INDEX(OHZ_HAZ_IMOHAZARDC,96,1)&lt;&gt;"",INDEX(OHZ_HAZ_UNNUMBER,96,1)&lt;&gt;"",INDEX(OHZ_HAZ_TOTAMOUNT,96,1)&lt;&gt;"",INDEX(OHZ_HAZ_PACKINGGRO,96,1)&lt;&gt;"",INDEX(OHZ_HAZ_FLASHPOINT,96,1)&lt;&gt;"",INDEX(OHZ_HAZ_MARPOLCODE,96,1)&lt;&gt;"",INDEX(OHZ_HAZ_PACTYPE,96,1)&lt;&gt;"",INDEX(OHZ_HAZ_TOTALPACKA,96,1)&lt;&gt;"",INDEX(OHZ_HAZ_ADDITIONAL,96,1)&lt;&gt;"",INDEX(OHZ_HAZ_EMS,96,1)&lt;&gt;"",INDEX(OHZ_HAZ_SUBSIDIARY,96,1)&lt;&gt;"",INDEX(OHZ_HAZ_UNITTYPE,96,1)&lt;&gt;"",INDEX(OHZ_HAZ_TEUID,96,1)&lt;&gt;"",INDEX(OHZ_HAZ_LOCATION,96,1)&lt;&gt;"",INDEX(OHZ_HAZ_PACKAGES,96,1)&lt;&gt;"",INDEX(OHZ_HAZ_AMOUNT,96,1)&lt;&gt;"",),IF(OR(INDEX(OHZ_HAZ_DGCLASSIFI,96,1)="",INDEX(OHZ_HAZ_TEXTUALREF,96,1)="",INDEX(OHZ_HAZ_TOTAMOUNT,96,1)="",INDEX(OHZ_HAZ_DPGREF,96,1)="",INDEX(OHZ_HAZ_CONSIGNMENT,96,1)="",),FALSE,TRUE),TRUE)</f>
        <v>1</v>
      </c>
      <c r="K103" s="237" t="str">
        <f t="shared" si="4"/>
        <v>Row 96 - All mandatory fields must be given</v>
      </c>
      <c r="L103" s="236" t="s">
        <v>1853</v>
      </c>
      <c r="R103" s="52"/>
      <c r="S103" s="52"/>
      <c r="T103" s="52" t="s">
        <v>2188</v>
      </c>
      <c r="V103" s="52"/>
    </row>
    <row r="104" spans="4:22">
      <c r="F104" s="236" t="s">
        <v>1853</v>
      </c>
      <c r="G104" s="250" t="b">
        <f>IF(OR(INDEX(IHZ_HAZ_CONSIGNMENT,97,1)&lt;&gt;"",INDEX(IHZ_HAZ_TRANSDOCID,97,1)&lt;&gt;"",INDEX(IHZ_HAZ_PORTOFLOADING,97,1)&lt;&gt;"",INDEX(IHZ_HAZ_PORTOFDISCHARGE,97,1)&lt;&gt;"",INDEX(IHZ_HAZ_DPGREF,97,1)&lt;&gt;"",INDEX(IHZ_HAZ_DGCLASSIFI,97,1)&lt;&gt;"",INDEX(IHZ_HAZ_TEXTUALREF,97,1)&lt;&gt;"",INDEX(IHZ_HAZ_IMOHAZARDC,97,1)&lt;&gt;"",INDEX(IHZ_HAZ_UNNUMBER,97,1)&lt;&gt;"",INDEX(IHZ_HAZ_TOTAMOUNT,97,1)&lt;&gt;"",INDEX(IHZ_HAZ_PACKINGGRO,97,1)&lt;&gt;"",INDEX(IHZ_HAZ_FLASHPOINT,97,1)&lt;&gt;"",INDEX(IHZ_HAZ_MARPOLCODE,97,1)&lt;&gt;"",INDEX(IHZ_HAZ_PACTYPE,97,1)&lt;&gt;"",INDEX(IHZ_HAZ_TOTALPACKA,97,1)&lt;&gt;"",INDEX(IHZ_HAZ_ADDITIONAL,97,1)&lt;&gt;"",INDEX(IHZ_HAZ_EMS,97,1)&lt;&gt;"",INDEX(IHZ_HAZ_SUBSIDIARY,97,1)&lt;&gt;"",INDEX(IHZ_HAZ_UNITTYPE,97,1)&lt;&gt;"",INDEX(IHZ_HAZ_TEUID,97,1)&lt;&gt;"",INDEX(IHZ_HAZ_LOCATION,97,1)&lt;&gt;"",INDEX(IHZ_HAZ_PACKAGES,97,1)&lt;&gt;"",INDEX(IHZ_HAZ_AMOUNT,97,1)&lt;&gt;"",),IF(OR(INDEX(IHZ_HAZ_DGCLASSIFI,97,1)="",INDEX(IHZ_HAZ_TEXTUALREF,97,1)="",INDEX(IHZ_HAZ_TOTAMOUNT,97,1)="",INDEX(IHZ_HAZ_DPGREF,97,1)="",INDEX(IHZ_HAZ_CONSIGNMENT,97,1)="",),FALSE,TRUE),TRUE)</f>
        <v>1</v>
      </c>
      <c r="H104" s="237" t="str">
        <f t="shared" si="3"/>
        <v>Row 97 - All mandatory fields must be given</v>
      </c>
      <c r="I104" s="236" t="s">
        <v>1853</v>
      </c>
      <c r="J104" s="52" t="b">
        <f>IF(OR(INDEX(OHZ_HAZ_CONSIGNMENT,97,1)&lt;&gt;"",INDEX(OHZ_HAZ_TRANSDOCID,97,1)&lt;&gt;"",INDEX(OHZ_HAZ_PORTOFLOADING,97,1)&lt;&gt;"",INDEX(OHZ_HAZ_PORTOFDISCHARGE,97,1)&lt;&gt;"",INDEX(OHZ_HAZ_DPGREF,97,1)&lt;&gt;"",INDEX(OHZ_HAZ_DGCLASSIFI,97,1)&lt;&gt;"",INDEX(OHZ_HAZ_TEXTUALREF,97,1)&lt;&gt;"",INDEX(OHZ_HAZ_IMOHAZARDC,97,1)&lt;&gt;"",INDEX(OHZ_HAZ_UNNUMBER,97,1)&lt;&gt;"",INDEX(OHZ_HAZ_TOTAMOUNT,97,1)&lt;&gt;"",INDEX(OHZ_HAZ_PACKINGGRO,97,1)&lt;&gt;"",INDEX(OHZ_HAZ_FLASHPOINT,97,1)&lt;&gt;"",INDEX(OHZ_HAZ_MARPOLCODE,97,1)&lt;&gt;"",INDEX(OHZ_HAZ_PACTYPE,97,1)&lt;&gt;"",INDEX(OHZ_HAZ_TOTALPACKA,97,1)&lt;&gt;"",INDEX(OHZ_HAZ_ADDITIONAL,97,1)&lt;&gt;"",INDEX(OHZ_HAZ_EMS,97,1)&lt;&gt;"",INDEX(OHZ_HAZ_SUBSIDIARY,97,1)&lt;&gt;"",INDEX(OHZ_HAZ_UNITTYPE,97,1)&lt;&gt;"",INDEX(OHZ_HAZ_TEUID,97,1)&lt;&gt;"",INDEX(OHZ_HAZ_LOCATION,97,1)&lt;&gt;"",INDEX(OHZ_HAZ_PACKAGES,97,1)&lt;&gt;"",INDEX(OHZ_HAZ_AMOUNT,97,1)&lt;&gt;"",),IF(OR(INDEX(OHZ_HAZ_DGCLASSIFI,97,1)="",INDEX(OHZ_HAZ_TEXTUALREF,97,1)="",INDEX(OHZ_HAZ_TOTAMOUNT,97,1)="",INDEX(OHZ_HAZ_DPGREF,97,1)="",INDEX(OHZ_HAZ_CONSIGNMENT,97,1)="",),FALSE,TRUE),TRUE)</f>
        <v>1</v>
      </c>
      <c r="K104" s="237" t="str">
        <f t="shared" si="4"/>
        <v>Row 97 - All mandatory fields must be given</v>
      </c>
      <c r="L104" s="236" t="s">
        <v>1853</v>
      </c>
      <c r="R104" s="52"/>
      <c r="S104" s="52"/>
      <c r="T104" s="52" t="s">
        <v>2189</v>
      </c>
      <c r="V104" s="52"/>
    </row>
    <row r="105" spans="4:22">
      <c r="F105" s="236" t="s">
        <v>1853</v>
      </c>
      <c r="G105" s="250" t="b">
        <f>IF(OR(INDEX(IHZ_HAZ_CONSIGNMENT,98,1)&lt;&gt;"",INDEX(IHZ_HAZ_TRANSDOCID,98,1)&lt;&gt;"",INDEX(IHZ_HAZ_PORTOFLOADING,98,1)&lt;&gt;"",INDEX(IHZ_HAZ_PORTOFDISCHARGE,98,1)&lt;&gt;"",INDEX(IHZ_HAZ_DPGREF,98,1)&lt;&gt;"",INDEX(IHZ_HAZ_DGCLASSIFI,98,1)&lt;&gt;"",INDEX(IHZ_HAZ_TEXTUALREF,98,1)&lt;&gt;"",INDEX(IHZ_HAZ_IMOHAZARDC,98,1)&lt;&gt;"",INDEX(IHZ_HAZ_UNNUMBER,98,1)&lt;&gt;"",INDEX(IHZ_HAZ_TOTAMOUNT,98,1)&lt;&gt;"",INDEX(IHZ_HAZ_PACKINGGRO,98,1)&lt;&gt;"",INDEX(IHZ_HAZ_FLASHPOINT,98,1)&lt;&gt;"",INDEX(IHZ_HAZ_MARPOLCODE,98,1)&lt;&gt;"",INDEX(IHZ_HAZ_PACTYPE,98,1)&lt;&gt;"",INDEX(IHZ_HAZ_TOTALPACKA,98,1)&lt;&gt;"",INDEX(IHZ_HAZ_ADDITIONAL,98,1)&lt;&gt;"",INDEX(IHZ_HAZ_EMS,98,1)&lt;&gt;"",INDEX(IHZ_HAZ_SUBSIDIARY,98,1)&lt;&gt;"",INDEX(IHZ_HAZ_UNITTYPE,98,1)&lt;&gt;"",INDEX(IHZ_HAZ_TEUID,98,1)&lt;&gt;"",INDEX(IHZ_HAZ_LOCATION,98,1)&lt;&gt;"",INDEX(IHZ_HAZ_PACKAGES,98,1)&lt;&gt;"",INDEX(IHZ_HAZ_AMOUNT,98,1)&lt;&gt;"",),IF(OR(INDEX(IHZ_HAZ_DGCLASSIFI,98,1)="",INDEX(IHZ_HAZ_TEXTUALREF,98,1)="",INDEX(IHZ_HAZ_TOTAMOUNT,98,1)="",INDEX(IHZ_HAZ_DPGREF,98,1)="",INDEX(IHZ_HAZ_CONSIGNMENT,98,1)="",),FALSE,TRUE),TRUE)</f>
        <v>1</v>
      </c>
      <c r="H105" s="237" t="str">
        <f t="shared" si="3"/>
        <v>Row 98 - All mandatory fields must be given</v>
      </c>
      <c r="I105" s="236" t="s">
        <v>1853</v>
      </c>
      <c r="J105" s="52" t="b">
        <f>IF(OR(INDEX(OHZ_HAZ_CONSIGNMENT,98,1)&lt;&gt;"",INDEX(OHZ_HAZ_TRANSDOCID,98,1)&lt;&gt;"",INDEX(OHZ_HAZ_PORTOFLOADING,98,1)&lt;&gt;"",INDEX(OHZ_HAZ_PORTOFDISCHARGE,98,1)&lt;&gt;"",INDEX(OHZ_HAZ_DPGREF,98,1)&lt;&gt;"",INDEX(OHZ_HAZ_DGCLASSIFI,98,1)&lt;&gt;"",INDEX(OHZ_HAZ_TEXTUALREF,98,1)&lt;&gt;"",INDEX(OHZ_HAZ_IMOHAZARDC,98,1)&lt;&gt;"",INDEX(OHZ_HAZ_UNNUMBER,98,1)&lt;&gt;"",INDEX(OHZ_HAZ_TOTAMOUNT,98,1)&lt;&gt;"",INDEX(OHZ_HAZ_PACKINGGRO,98,1)&lt;&gt;"",INDEX(OHZ_HAZ_FLASHPOINT,98,1)&lt;&gt;"",INDEX(OHZ_HAZ_MARPOLCODE,98,1)&lt;&gt;"",INDEX(OHZ_HAZ_PACTYPE,98,1)&lt;&gt;"",INDEX(OHZ_HAZ_TOTALPACKA,98,1)&lt;&gt;"",INDEX(OHZ_HAZ_ADDITIONAL,98,1)&lt;&gt;"",INDEX(OHZ_HAZ_EMS,98,1)&lt;&gt;"",INDEX(OHZ_HAZ_SUBSIDIARY,98,1)&lt;&gt;"",INDEX(OHZ_HAZ_UNITTYPE,98,1)&lt;&gt;"",INDEX(OHZ_HAZ_TEUID,98,1)&lt;&gt;"",INDEX(OHZ_HAZ_LOCATION,98,1)&lt;&gt;"",INDEX(OHZ_HAZ_PACKAGES,98,1)&lt;&gt;"",INDEX(OHZ_HAZ_AMOUNT,98,1)&lt;&gt;"",),IF(OR(INDEX(OHZ_HAZ_DGCLASSIFI,98,1)="",INDEX(OHZ_HAZ_TEXTUALREF,98,1)="",INDEX(OHZ_HAZ_TOTAMOUNT,98,1)="",INDEX(OHZ_HAZ_DPGREF,98,1)="",INDEX(OHZ_HAZ_CONSIGNMENT,98,1)="",),FALSE,TRUE),TRUE)</f>
        <v>1</v>
      </c>
      <c r="K105" s="237" t="str">
        <f t="shared" si="4"/>
        <v>Row 98 - All mandatory fields must be given</v>
      </c>
      <c r="L105" s="236" t="s">
        <v>1853</v>
      </c>
      <c r="R105" s="52"/>
      <c r="S105" s="52"/>
      <c r="T105" s="52" t="s">
        <v>2190</v>
      </c>
      <c r="V105" s="52"/>
    </row>
    <row r="106" spans="4:22">
      <c r="D106" s="313" t="e">
        <f>OR(WAS_LOC_LOCODE="",COUNTIF(REF_LOCODES,WAS_LOC_LOCODE)=1)</f>
        <v>#NAME?</v>
      </c>
      <c r="E106" s="313" t="s">
        <v>1995</v>
      </c>
      <c r="F106" s="236" t="s">
        <v>1853</v>
      </c>
      <c r="G106" s="250" t="b">
        <f>IF(OR(INDEX(IHZ_HAZ_CONSIGNMENT,99,1)&lt;&gt;"",INDEX(IHZ_HAZ_TRANSDOCID,99,1)&lt;&gt;"",INDEX(IHZ_HAZ_PORTOFLOADING,99,1)&lt;&gt;"",INDEX(IHZ_HAZ_PORTOFDISCHARGE,99,1)&lt;&gt;"",INDEX(IHZ_HAZ_DPGREF,99,1)&lt;&gt;"",INDEX(IHZ_HAZ_DGCLASSIFI,99,1)&lt;&gt;"",INDEX(IHZ_HAZ_TEXTUALREF,99,1)&lt;&gt;"",INDEX(IHZ_HAZ_IMOHAZARDC,99,1)&lt;&gt;"",INDEX(IHZ_HAZ_UNNUMBER,99,1)&lt;&gt;"",INDEX(IHZ_HAZ_TOTAMOUNT,99,1)&lt;&gt;"",INDEX(IHZ_HAZ_PACKINGGRO,99,1)&lt;&gt;"",INDEX(IHZ_HAZ_FLASHPOINT,99,1)&lt;&gt;"",INDEX(IHZ_HAZ_MARPOLCODE,99,1)&lt;&gt;"",INDEX(IHZ_HAZ_PACTYPE,99,1)&lt;&gt;"",INDEX(IHZ_HAZ_TOTALPACKA,99,1)&lt;&gt;"",INDEX(IHZ_HAZ_ADDITIONAL,99,1)&lt;&gt;"",INDEX(IHZ_HAZ_EMS,99,1)&lt;&gt;"",INDEX(IHZ_HAZ_SUBSIDIARY,99,1)&lt;&gt;"",INDEX(IHZ_HAZ_UNITTYPE,99,1)&lt;&gt;"",INDEX(IHZ_HAZ_TEUID,99,1)&lt;&gt;"",INDEX(IHZ_HAZ_LOCATION,99,1)&lt;&gt;"",INDEX(IHZ_HAZ_PACKAGES,99,1)&lt;&gt;"",INDEX(IHZ_HAZ_AMOUNT,99,1)&lt;&gt;"",),IF(OR(INDEX(IHZ_HAZ_DGCLASSIFI,99,1)="",INDEX(IHZ_HAZ_TEXTUALREF,99,1)="",INDEX(IHZ_HAZ_TOTAMOUNT,99,1)="",INDEX(IHZ_HAZ_DPGREF,99,1)="",INDEX(IHZ_HAZ_CONSIGNMENT,99,1)="",),FALSE,TRUE),TRUE)</f>
        <v>1</v>
      </c>
      <c r="H106" s="237" t="str">
        <f t="shared" si="3"/>
        <v>Row 99 - All mandatory fields must be given</v>
      </c>
      <c r="I106" s="236" t="s">
        <v>1853</v>
      </c>
      <c r="J106" s="52" t="b">
        <f>IF(OR(INDEX(OHZ_HAZ_CONSIGNMENT,99,1)&lt;&gt;"",INDEX(OHZ_HAZ_TRANSDOCID,99,1)&lt;&gt;"",INDEX(OHZ_HAZ_PORTOFLOADING,99,1)&lt;&gt;"",INDEX(OHZ_HAZ_PORTOFDISCHARGE,99,1)&lt;&gt;"",INDEX(OHZ_HAZ_DPGREF,99,1)&lt;&gt;"",INDEX(OHZ_HAZ_DGCLASSIFI,99,1)&lt;&gt;"",INDEX(OHZ_HAZ_TEXTUALREF,99,1)&lt;&gt;"",INDEX(OHZ_HAZ_IMOHAZARDC,99,1)&lt;&gt;"",INDEX(OHZ_HAZ_UNNUMBER,99,1)&lt;&gt;"",INDEX(OHZ_HAZ_TOTAMOUNT,99,1)&lt;&gt;"",INDEX(OHZ_HAZ_PACKINGGRO,99,1)&lt;&gt;"",INDEX(OHZ_HAZ_FLASHPOINT,99,1)&lt;&gt;"",INDEX(OHZ_HAZ_MARPOLCODE,99,1)&lt;&gt;"",INDEX(OHZ_HAZ_PACTYPE,99,1)&lt;&gt;"",INDEX(OHZ_HAZ_TOTALPACKA,99,1)&lt;&gt;"",INDEX(OHZ_HAZ_ADDITIONAL,99,1)&lt;&gt;"",INDEX(OHZ_HAZ_EMS,99,1)&lt;&gt;"",INDEX(OHZ_HAZ_SUBSIDIARY,99,1)&lt;&gt;"",INDEX(OHZ_HAZ_UNITTYPE,99,1)&lt;&gt;"",INDEX(OHZ_HAZ_TEUID,99,1)&lt;&gt;"",INDEX(OHZ_HAZ_LOCATION,99,1)&lt;&gt;"",INDEX(OHZ_HAZ_PACKAGES,99,1)&lt;&gt;"",INDEX(OHZ_HAZ_AMOUNT,99,1)&lt;&gt;"",),IF(OR(INDEX(OHZ_HAZ_DGCLASSIFI,99,1)="",INDEX(OHZ_HAZ_TEXTUALREF,99,1)="",INDEX(OHZ_HAZ_TOTAMOUNT,99,1)="",INDEX(OHZ_HAZ_DPGREF,99,1)="",INDEX(OHZ_HAZ_CONSIGNMENT,99,1)="",),FALSE,TRUE),TRUE)</f>
        <v>1</v>
      </c>
      <c r="K106" s="237" t="str">
        <f t="shared" si="4"/>
        <v>Row 99 - All mandatory fields must be given</v>
      </c>
      <c r="L106" s="236" t="s">
        <v>1853</v>
      </c>
      <c r="R106" s="52"/>
      <c r="S106" s="52"/>
      <c r="T106" s="52" t="s">
        <v>2191</v>
      </c>
      <c r="V106" s="52"/>
    </row>
    <row r="107" spans="4:22">
      <c r="D107" s="313" t="b">
        <f>OR(AND((WAS_LOC_LATITUDE&gt;-54000001),(WAS_LOC_LATITUDE&lt;54000001)), (WAS_LOC_LATITUDE=54600000))</f>
        <v>1</v>
      </c>
      <c r="E107" s="313" t="s">
        <v>1992</v>
      </c>
      <c r="F107" s="236" t="s">
        <v>1853</v>
      </c>
      <c r="G107" s="250" t="b">
        <f>IF(OR(INDEX(IHZ_HAZ_CONSIGNMENT,100,1)&lt;&gt;"",INDEX(IHZ_HAZ_TRANSDOCID,100,1)&lt;&gt;"",INDEX(IHZ_HAZ_PORTOFLOADING,100,1)&lt;&gt;"",INDEX(IHZ_HAZ_PORTOFDISCHARGE,100,1)&lt;&gt;"",INDEX(IHZ_HAZ_DPGREF,100,1)&lt;&gt;"",INDEX(IHZ_HAZ_DGCLASSIFI,100,1)&lt;&gt;"",INDEX(IHZ_HAZ_TEXTUALREF,100,1)&lt;&gt;"",INDEX(IHZ_HAZ_IMOHAZARDC,100,1)&lt;&gt;"",INDEX(IHZ_HAZ_UNNUMBER,100,1)&lt;&gt;"",INDEX(IHZ_HAZ_TOTAMOUNT,100,1)&lt;&gt;"",INDEX(IHZ_HAZ_PACKINGGRO,100,1)&lt;&gt;"",INDEX(IHZ_HAZ_FLASHPOINT,100,1)&lt;&gt;"",INDEX(IHZ_HAZ_MARPOLCODE,100,1)&lt;&gt;"",INDEX(IHZ_HAZ_PACTYPE,100,1)&lt;&gt;"",INDEX(IHZ_HAZ_TOTALPACKA,100,1)&lt;&gt;"",INDEX(IHZ_HAZ_ADDITIONAL,100,1)&lt;&gt;"",INDEX(IHZ_HAZ_EMS,100,1)&lt;&gt;"",INDEX(IHZ_HAZ_SUBSIDIARY,100,1)&lt;&gt;"",INDEX(IHZ_HAZ_UNITTYPE,100,1)&lt;&gt;"",INDEX(IHZ_HAZ_TEUID,100,1)&lt;&gt;"",INDEX(IHZ_HAZ_LOCATION,100,1)&lt;&gt;"",INDEX(IHZ_HAZ_PACKAGES,100,1)&lt;&gt;"",INDEX(IHZ_HAZ_AMOUNT,100,1)&lt;&gt;"",),IF(OR(INDEX(IHZ_HAZ_DGCLASSIFI,100,1)="",INDEX(IHZ_HAZ_TEXTUALREF,100,1)="",INDEX(IHZ_HAZ_TOTAMOUNT,100,1)="",INDEX(IHZ_HAZ_DPGREF,100,1)="",INDEX(IHZ_HAZ_CONSIGNMENT,100,1)="",),FALSE,TRUE),TRUE)</f>
        <v>1</v>
      </c>
      <c r="H107" s="237" t="str">
        <f t="shared" si="3"/>
        <v>Row 100 - All mandatory fields must be given</v>
      </c>
      <c r="I107" s="236" t="s">
        <v>1853</v>
      </c>
      <c r="J107" s="52" t="b">
        <f>IF(OR(INDEX(OHZ_HAZ_CONSIGNMENT,100,1)&lt;&gt;"",INDEX(OHZ_HAZ_TRANSDOCID,100,1)&lt;&gt;"",INDEX(OHZ_HAZ_PORTOFLOADING,100,1)&lt;&gt;"",INDEX(OHZ_HAZ_PORTOFDISCHARGE,100,1)&lt;&gt;"",INDEX(OHZ_HAZ_DPGREF,100,1)&lt;&gt;"",INDEX(OHZ_HAZ_DGCLASSIFI,100,1)&lt;&gt;"",INDEX(OHZ_HAZ_TEXTUALREF,100,1)&lt;&gt;"",INDEX(OHZ_HAZ_IMOHAZARDC,100,1)&lt;&gt;"",INDEX(OHZ_HAZ_UNNUMBER,100,1)&lt;&gt;"",INDEX(OHZ_HAZ_TOTAMOUNT,100,1)&lt;&gt;"",INDEX(OHZ_HAZ_PACKINGGRO,100,1)&lt;&gt;"",INDEX(OHZ_HAZ_FLASHPOINT,100,1)&lt;&gt;"",INDEX(OHZ_HAZ_MARPOLCODE,100,1)&lt;&gt;"",INDEX(OHZ_HAZ_PACTYPE,100,1)&lt;&gt;"",INDEX(OHZ_HAZ_TOTALPACKA,100,1)&lt;&gt;"",INDEX(OHZ_HAZ_ADDITIONAL,100,1)&lt;&gt;"",INDEX(OHZ_HAZ_EMS,100,1)&lt;&gt;"",INDEX(OHZ_HAZ_SUBSIDIARY,100,1)&lt;&gt;"",INDEX(OHZ_HAZ_UNITTYPE,100,1)&lt;&gt;"",INDEX(OHZ_HAZ_TEUID,100,1)&lt;&gt;"",INDEX(OHZ_HAZ_LOCATION,100,1)&lt;&gt;"",INDEX(OHZ_HAZ_PACKAGES,100,1)&lt;&gt;"",INDEX(OHZ_HAZ_AMOUNT,100,1)&lt;&gt;"",),IF(OR(INDEX(OHZ_HAZ_DGCLASSIFI,100,1)="",INDEX(OHZ_HAZ_TEXTUALREF,100,1)="",INDEX(OHZ_HAZ_TOTAMOUNT,100,1)="",INDEX(OHZ_HAZ_DPGREF,100,1)="",INDEX(OHZ_HAZ_CONSIGNMENT,100,1)="",),FALSE,TRUE),TRUE)</f>
        <v>1</v>
      </c>
      <c r="K107" s="237" t="str">
        <f t="shared" si="4"/>
        <v>Row 100 - All mandatory fields must be given</v>
      </c>
      <c r="L107" s="236" t="s">
        <v>1853</v>
      </c>
      <c r="R107" s="52"/>
      <c r="S107" s="52"/>
      <c r="T107" s="52" t="s">
        <v>2192</v>
      </c>
      <c r="V107" s="52"/>
    </row>
    <row r="108" spans="4:22">
      <c r="D108" s="313" t="b">
        <f>OR(AND((WAS_LOC_LONGITUDE&gt;-108000001),(WAS_LOC_LONGITUDE&lt;108000001)), (WAS_LOC_LONGITUDE=108600000))</f>
        <v>1</v>
      </c>
      <c r="E108" s="313" t="s">
        <v>1993</v>
      </c>
      <c r="F108" s="236" t="s">
        <v>1853</v>
      </c>
      <c r="G108" s="250" t="b">
        <f>IF(OR(INDEX(IHZ_HAZ_CONSIGNMENT,101,1)&lt;&gt;"",INDEX(IHZ_HAZ_TRANSDOCID,101,1)&lt;&gt;"",INDEX(IHZ_HAZ_PORTOFLOADING,101,1)&lt;&gt;"",INDEX(IHZ_HAZ_PORTOFDISCHARGE,101,1)&lt;&gt;"",INDEX(IHZ_HAZ_DPGREF,101,1)&lt;&gt;"",INDEX(IHZ_HAZ_DGCLASSIFI,101,1)&lt;&gt;"",INDEX(IHZ_HAZ_TEXTUALREF,101,1)&lt;&gt;"",INDEX(IHZ_HAZ_IMOHAZARDC,101,1)&lt;&gt;"",INDEX(IHZ_HAZ_UNNUMBER,101,1)&lt;&gt;"",INDEX(IHZ_HAZ_TOTAMOUNT,101,1)&lt;&gt;"",INDEX(IHZ_HAZ_PACKINGGRO,101,1)&lt;&gt;"",INDEX(IHZ_HAZ_FLASHPOINT,101,1)&lt;&gt;"",INDEX(IHZ_HAZ_MARPOLCODE,101,1)&lt;&gt;"",INDEX(IHZ_HAZ_PACTYPE,101,1)&lt;&gt;"",INDEX(IHZ_HAZ_TOTALPACKA,101,1)&lt;&gt;"",INDEX(IHZ_HAZ_ADDITIONAL,101,1)&lt;&gt;"",INDEX(IHZ_HAZ_EMS,101,1)&lt;&gt;"",INDEX(IHZ_HAZ_SUBSIDIARY,101,1)&lt;&gt;"",INDEX(IHZ_HAZ_UNITTYPE,101,1)&lt;&gt;"",INDEX(IHZ_HAZ_TEUID,101,1)&lt;&gt;"",INDEX(IHZ_HAZ_LOCATION,101,1)&lt;&gt;"",INDEX(IHZ_HAZ_PACKAGES,101,1)&lt;&gt;"",INDEX(IHZ_HAZ_AMOUNT,101,1)&lt;&gt;"",),IF(OR(INDEX(IHZ_HAZ_DGCLASSIFI,101,1)="",INDEX(IHZ_HAZ_TEXTUALREF,101,1)="",INDEX(IHZ_HAZ_TOTAMOUNT,101,1)="",INDEX(IHZ_HAZ_DPGREF,101,1)="",INDEX(IHZ_HAZ_CONSIGNMENT,101,1)="",),FALSE,TRUE),TRUE)</f>
        <v>1</v>
      </c>
      <c r="H108" s="237" t="str">
        <f t="shared" si="3"/>
        <v>Row 101 - All mandatory fields must be given</v>
      </c>
      <c r="I108" s="236" t="s">
        <v>1853</v>
      </c>
      <c r="J108" s="52" t="b">
        <f>IF(OR(INDEX(OHZ_HAZ_CONSIGNMENT,101,1)&lt;&gt;"",INDEX(OHZ_HAZ_TRANSDOCID,101,1)&lt;&gt;"",INDEX(OHZ_HAZ_PORTOFLOADING,101,1)&lt;&gt;"",INDEX(OHZ_HAZ_PORTOFDISCHARGE,101,1)&lt;&gt;"",INDEX(OHZ_HAZ_DPGREF,101,1)&lt;&gt;"",INDEX(OHZ_HAZ_DGCLASSIFI,101,1)&lt;&gt;"",INDEX(OHZ_HAZ_TEXTUALREF,101,1)&lt;&gt;"",INDEX(OHZ_HAZ_IMOHAZARDC,101,1)&lt;&gt;"",INDEX(OHZ_HAZ_UNNUMBER,101,1)&lt;&gt;"",INDEX(OHZ_HAZ_TOTAMOUNT,101,1)&lt;&gt;"",INDEX(OHZ_HAZ_PACKINGGRO,101,1)&lt;&gt;"",INDEX(OHZ_HAZ_FLASHPOINT,101,1)&lt;&gt;"",INDEX(OHZ_HAZ_MARPOLCODE,101,1)&lt;&gt;"",INDEX(OHZ_HAZ_PACTYPE,101,1)&lt;&gt;"",INDEX(OHZ_HAZ_TOTALPACKA,101,1)&lt;&gt;"",INDEX(OHZ_HAZ_ADDITIONAL,101,1)&lt;&gt;"",INDEX(OHZ_HAZ_EMS,101,1)&lt;&gt;"",INDEX(OHZ_HAZ_SUBSIDIARY,101,1)&lt;&gt;"",INDEX(OHZ_HAZ_UNITTYPE,101,1)&lt;&gt;"",INDEX(OHZ_HAZ_TEUID,101,1)&lt;&gt;"",INDEX(OHZ_HAZ_LOCATION,101,1)&lt;&gt;"",INDEX(OHZ_HAZ_PACKAGES,101,1)&lt;&gt;"",INDEX(OHZ_HAZ_AMOUNT,101,1)&lt;&gt;"",),IF(OR(INDEX(OHZ_HAZ_DGCLASSIFI,101,1)="",INDEX(OHZ_HAZ_TEXTUALREF,101,1)="",INDEX(OHZ_HAZ_TOTAMOUNT,101,1)="",INDEX(OHZ_HAZ_DPGREF,101,1)="",INDEX(OHZ_HAZ_CONSIGNMENT,101,1)="",),FALSE,TRUE),TRUE)</f>
        <v>1</v>
      </c>
      <c r="K108" s="237" t="str">
        <f t="shared" si="4"/>
        <v>Row 101 - All mandatory fields must be given</v>
      </c>
      <c r="L108" s="236" t="s">
        <v>1853</v>
      </c>
      <c r="S108" s="52"/>
      <c r="T108" s="52" t="s">
        <v>2193</v>
      </c>
      <c r="V108" s="52"/>
    </row>
    <row r="109" spans="4:22">
      <c r="D109" s="313" t="b">
        <f>LEN(WAS_LOC_LOCNAME)&lt;51</f>
        <v>1</v>
      </c>
      <c r="E109" s="313" t="s">
        <v>1994</v>
      </c>
      <c r="F109" s="236" t="s">
        <v>1853</v>
      </c>
      <c r="G109" s="250" t="b">
        <f>IF(OR(INDEX(IHZ_HAZ_CONSIGNMENT,102,1)&lt;&gt;"",INDEX(IHZ_HAZ_TRANSDOCID,102,1)&lt;&gt;"",INDEX(IHZ_HAZ_PORTOFLOADING,102,1)&lt;&gt;"",INDEX(IHZ_HAZ_PORTOFDISCHARGE,102,1)&lt;&gt;"",INDEX(IHZ_HAZ_DPGREF,102,1)&lt;&gt;"",INDEX(IHZ_HAZ_DGCLASSIFI,102,1)&lt;&gt;"",INDEX(IHZ_HAZ_TEXTUALREF,102,1)&lt;&gt;"",INDEX(IHZ_HAZ_IMOHAZARDC,102,1)&lt;&gt;"",INDEX(IHZ_HAZ_UNNUMBER,102,1)&lt;&gt;"",INDEX(IHZ_HAZ_TOTAMOUNT,102,1)&lt;&gt;"",INDEX(IHZ_HAZ_PACKINGGRO,102,1)&lt;&gt;"",INDEX(IHZ_HAZ_FLASHPOINT,102,1)&lt;&gt;"",INDEX(IHZ_HAZ_MARPOLCODE,102,1)&lt;&gt;"",INDEX(IHZ_HAZ_PACTYPE,102,1)&lt;&gt;"",INDEX(IHZ_HAZ_TOTALPACKA,102,1)&lt;&gt;"",INDEX(IHZ_HAZ_ADDITIONAL,102,1)&lt;&gt;"",INDEX(IHZ_HAZ_EMS,102,1)&lt;&gt;"",INDEX(IHZ_HAZ_SUBSIDIARY,102,1)&lt;&gt;"",INDEX(IHZ_HAZ_UNITTYPE,102,1)&lt;&gt;"",INDEX(IHZ_HAZ_TEUID,102,1)&lt;&gt;"",INDEX(IHZ_HAZ_LOCATION,102,1)&lt;&gt;"",INDEX(IHZ_HAZ_PACKAGES,102,1)&lt;&gt;"",INDEX(IHZ_HAZ_AMOUNT,102,1)&lt;&gt;"",),IF(OR(INDEX(IHZ_HAZ_DGCLASSIFI,102,1)="",INDEX(IHZ_HAZ_TEXTUALREF,102,1)="",INDEX(IHZ_HAZ_TOTAMOUNT,102,1)="",INDEX(IHZ_HAZ_DPGREF,102,1)="",INDEX(IHZ_HAZ_CONSIGNMENT,102,1)="",),FALSE,TRUE),TRUE)</f>
        <v>1</v>
      </c>
      <c r="H109" s="237" t="str">
        <f t="shared" si="3"/>
        <v>Row 102 - All mandatory fields must be given</v>
      </c>
      <c r="I109" s="236" t="s">
        <v>1853</v>
      </c>
      <c r="J109" s="52" t="b">
        <f>IF(OR(INDEX(OHZ_HAZ_CONSIGNMENT,102,1)&lt;&gt;"",INDEX(OHZ_HAZ_TRANSDOCID,102,1)&lt;&gt;"",INDEX(OHZ_HAZ_PORTOFLOADING,102,1)&lt;&gt;"",INDEX(OHZ_HAZ_PORTOFDISCHARGE,102,1)&lt;&gt;"",INDEX(OHZ_HAZ_DPGREF,102,1)&lt;&gt;"",INDEX(OHZ_HAZ_DGCLASSIFI,102,1)&lt;&gt;"",INDEX(OHZ_HAZ_TEXTUALREF,102,1)&lt;&gt;"",INDEX(OHZ_HAZ_IMOHAZARDC,102,1)&lt;&gt;"",INDEX(OHZ_HAZ_UNNUMBER,102,1)&lt;&gt;"",INDEX(OHZ_HAZ_TOTAMOUNT,102,1)&lt;&gt;"",INDEX(OHZ_HAZ_PACKINGGRO,102,1)&lt;&gt;"",INDEX(OHZ_HAZ_FLASHPOINT,102,1)&lt;&gt;"",INDEX(OHZ_HAZ_MARPOLCODE,102,1)&lt;&gt;"",INDEX(OHZ_HAZ_PACTYPE,102,1)&lt;&gt;"",INDEX(OHZ_HAZ_TOTALPACKA,102,1)&lt;&gt;"",INDEX(OHZ_HAZ_ADDITIONAL,102,1)&lt;&gt;"",INDEX(OHZ_HAZ_EMS,102,1)&lt;&gt;"",INDEX(OHZ_HAZ_SUBSIDIARY,102,1)&lt;&gt;"",INDEX(OHZ_HAZ_UNITTYPE,102,1)&lt;&gt;"",INDEX(OHZ_HAZ_TEUID,102,1)&lt;&gt;"",INDEX(OHZ_HAZ_LOCATION,102,1)&lt;&gt;"",INDEX(OHZ_HAZ_PACKAGES,102,1)&lt;&gt;"",INDEX(OHZ_HAZ_AMOUNT,102,1)&lt;&gt;"",),IF(OR(INDEX(OHZ_HAZ_DGCLASSIFI,102,1)="",INDEX(OHZ_HAZ_TEXTUALREF,102,1)="",INDEX(OHZ_HAZ_TOTAMOUNT,102,1)="",INDEX(OHZ_HAZ_DPGREF,102,1)="",INDEX(OHZ_HAZ_CONSIGNMENT,102,1)="",),FALSE,TRUE),TRUE)</f>
        <v>1</v>
      </c>
      <c r="K109" s="237" t="str">
        <f t="shared" si="4"/>
        <v>Row 102 - All mandatory fields must be given</v>
      </c>
      <c r="L109" s="236" t="s">
        <v>1853</v>
      </c>
      <c r="S109" s="52"/>
      <c r="T109" s="52" t="s">
        <v>2194</v>
      </c>
      <c r="V109" s="52"/>
    </row>
    <row r="110" spans="4:22">
      <c r="D110" s="313" t="e">
        <f>OR(WAS_OVE_LASTPORT="",COUNTIF(REF_LOCODES,WAS_OVE_LASTPORT)=1)</f>
        <v>#NAME?</v>
      </c>
      <c r="E110" s="313" t="s">
        <v>1996</v>
      </c>
      <c r="F110" s="236" t="s">
        <v>1853</v>
      </c>
      <c r="G110" s="250" t="b">
        <f>IF(OR(INDEX(IHZ_HAZ_CONSIGNMENT,103,1)&lt;&gt;"",INDEX(IHZ_HAZ_TRANSDOCID,103,1)&lt;&gt;"",INDEX(IHZ_HAZ_PORTOFLOADING,103,1)&lt;&gt;"",INDEX(IHZ_HAZ_PORTOFDISCHARGE,103,1)&lt;&gt;"",INDEX(IHZ_HAZ_DPGREF,103,1)&lt;&gt;"",INDEX(IHZ_HAZ_DGCLASSIFI,103,1)&lt;&gt;"",INDEX(IHZ_HAZ_TEXTUALREF,103,1)&lt;&gt;"",INDEX(IHZ_HAZ_IMOHAZARDC,103,1)&lt;&gt;"",INDEX(IHZ_HAZ_UNNUMBER,103,1)&lt;&gt;"",INDEX(IHZ_HAZ_TOTAMOUNT,103,1)&lt;&gt;"",INDEX(IHZ_HAZ_PACKINGGRO,103,1)&lt;&gt;"",INDEX(IHZ_HAZ_FLASHPOINT,103,1)&lt;&gt;"",INDEX(IHZ_HAZ_MARPOLCODE,103,1)&lt;&gt;"",INDEX(IHZ_HAZ_PACTYPE,103,1)&lt;&gt;"",INDEX(IHZ_HAZ_TOTALPACKA,103,1)&lt;&gt;"",INDEX(IHZ_HAZ_ADDITIONAL,103,1)&lt;&gt;"",INDEX(IHZ_HAZ_EMS,103,1)&lt;&gt;"",INDEX(IHZ_HAZ_SUBSIDIARY,103,1)&lt;&gt;"",INDEX(IHZ_HAZ_UNITTYPE,103,1)&lt;&gt;"",INDEX(IHZ_HAZ_TEUID,103,1)&lt;&gt;"",INDEX(IHZ_HAZ_LOCATION,103,1)&lt;&gt;"",INDEX(IHZ_HAZ_PACKAGES,103,1)&lt;&gt;"",INDEX(IHZ_HAZ_AMOUNT,103,1)&lt;&gt;"",),IF(OR(INDEX(IHZ_HAZ_DGCLASSIFI,103,1)="",INDEX(IHZ_HAZ_TEXTUALREF,103,1)="",INDEX(IHZ_HAZ_TOTAMOUNT,103,1)="",INDEX(IHZ_HAZ_DPGREF,103,1)="",INDEX(IHZ_HAZ_CONSIGNMENT,103,1)="",),FALSE,TRUE),TRUE)</f>
        <v>1</v>
      </c>
      <c r="H110" s="237" t="str">
        <f t="shared" si="3"/>
        <v>Row 103 - All mandatory fields must be given</v>
      </c>
      <c r="I110" s="236" t="s">
        <v>1853</v>
      </c>
      <c r="J110" s="52" t="b">
        <f>IF(OR(INDEX(OHZ_HAZ_CONSIGNMENT,103,1)&lt;&gt;"",INDEX(OHZ_HAZ_TRANSDOCID,103,1)&lt;&gt;"",INDEX(OHZ_HAZ_PORTOFLOADING,103,1)&lt;&gt;"",INDEX(OHZ_HAZ_PORTOFDISCHARGE,103,1)&lt;&gt;"",INDEX(OHZ_HAZ_DPGREF,103,1)&lt;&gt;"",INDEX(OHZ_HAZ_DGCLASSIFI,103,1)&lt;&gt;"",INDEX(OHZ_HAZ_TEXTUALREF,103,1)&lt;&gt;"",INDEX(OHZ_HAZ_IMOHAZARDC,103,1)&lt;&gt;"",INDEX(OHZ_HAZ_UNNUMBER,103,1)&lt;&gt;"",INDEX(OHZ_HAZ_TOTAMOUNT,103,1)&lt;&gt;"",INDEX(OHZ_HAZ_PACKINGGRO,103,1)&lt;&gt;"",INDEX(OHZ_HAZ_FLASHPOINT,103,1)&lt;&gt;"",INDEX(OHZ_HAZ_MARPOLCODE,103,1)&lt;&gt;"",INDEX(OHZ_HAZ_PACTYPE,103,1)&lt;&gt;"",INDEX(OHZ_HAZ_TOTALPACKA,103,1)&lt;&gt;"",INDEX(OHZ_HAZ_ADDITIONAL,103,1)&lt;&gt;"",INDEX(OHZ_HAZ_EMS,103,1)&lt;&gt;"",INDEX(OHZ_HAZ_SUBSIDIARY,103,1)&lt;&gt;"",INDEX(OHZ_HAZ_UNITTYPE,103,1)&lt;&gt;"",INDEX(OHZ_HAZ_TEUID,103,1)&lt;&gt;"",INDEX(OHZ_HAZ_LOCATION,103,1)&lt;&gt;"",INDEX(OHZ_HAZ_PACKAGES,103,1)&lt;&gt;"",INDEX(OHZ_HAZ_AMOUNT,103,1)&lt;&gt;"",),IF(OR(INDEX(OHZ_HAZ_DGCLASSIFI,103,1)="",INDEX(OHZ_HAZ_TEXTUALREF,103,1)="",INDEX(OHZ_HAZ_TOTAMOUNT,103,1)="",INDEX(OHZ_HAZ_DPGREF,103,1)="",INDEX(OHZ_HAZ_CONSIGNMENT,103,1)="",),FALSE,TRUE),TRUE)</f>
        <v>1</v>
      </c>
      <c r="K110" s="237" t="str">
        <f t="shared" si="4"/>
        <v>Row 103 - All mandatory fields must be given</v>
      </c>
      <c r="L110" s="236" t="s">
        <v>1853</v>
      </c>
      <c r="S110" s="52"/>
      <c r="T110" s="52" t="s">
        <v>2195</v>
      </c>
      <c r="V110" s="52"/>
    </row>
    <row r="111" spans="4:22">
      <c r="D111" s="313"/>
      <c r="E111" s="313"/>
      <c r="F111" s="236" t="s">
        <v>1853</v>
      </c>
      <c r="G111" s="250" t="b">
        <f>IF(OR(INDEX(IHZ_HAZ_CONSIGNMENT,104,1)&lt;&gt;"",INDEX(IHZ_HAZ_TRANSDOCID,104,1)&lt;&gt;"",INDEX(IHZ_HAZ_PORTOFLOADING,104,1)&lt;&gt;"",INDEX(IHZ_HAZ_PORTOFDISCHARGE,104,1)&lt;&gt;"",INDEX(IHZ_HAZ_DPGREF,104,1)&lt;&gt;"",INDEX(IHZ_HAZ_DGCLASSIFI,104,1)&lt;&gt;"",INDEX(IHZ_HAZ_TEXTUALREF,104,1)&lt;&gt;"",INDEX(IHZ_HAZ_IMOHAZARDC,104,1)&lt;&gt;"",INDEX(IHZ_HAZ_UNNUMBER,104,1)&lt;&gt;"",INDEX(IHZ_HAZ_TOTAMOUNT,104,1)&lt;&gt;"",INDEX(IHZ_HAZ_PACKINGGRO,104,1)&lt;&gt;"",INDEX(IHZ_HAZ_FLASHPOINT,104,1)&lt;&gt;"",INDEX(IHZ_HAZ_MARPOLCODE,104,1)&lt;&gt;"",INDEX(IHZ_HAZ_PACTYPE,104,1)&lt;&gt;"",INDEX(IHZ_HAZ_TOTALPACKA,104,1)&lt;&gt;"",INDEX(IHZ_HAZ_ADDITIONAL,104,1)&lt;&gt;"",INDEX(IHZ_HAZ_EMS,104,1)&lt;&gt;"",INDEX(IHZ_HAZ_SUBSIDIARY,104,1)&lt;&gt;"",INDEX(IHZ_HAZ_UNITTYPE,104,1)&lt;&gt;"",INDEX(IHZ_HAZ_TEUID,104,1)&lt;&gt;"",INDEX(IHZ_HAZ_LOCATION,104,1)&lt;&gt;"",INDEX(IHZ_HAZ_PACKAGES,104,1)&lt;&gt;"",INDEX(IHZ_HAZ_AMOUNT,104,1)&lt;&gt;"",),IF(OR(INDEX(IHZ_HAZ_DGCLASSIFI,104,1)="",INDEX(IHZ_HAZ_TEXTUALREF,104,1)="",INDEX(IHZ_HAZ_TOTAMOUNT,104,1)="",INDEX(IHZ_HAZ_DPGREF,104,1)="",INDEX(IHZ_HAZ_CONSIGNMENT,104,1)="",),FALSE,TRUE),TRUE)</f>
        <v>1</v>
      </c>
      <c r="H111" s="237" t="str">
        <f t="shared" si="3"/>
        <v>Row 104 - All mandatory fields must be given</v>
      </c>
      <c r="I111" s="236" t="s">
        <v>1853</v>
      </c>
      <c r="J111" s="52" t="b">
        <f>IF(OR(INDEX(OHZ_HAZ_CONSIGNMENT,104,1)&lt;&gt;"",INDEX(OHZ_HAZ_TRANSDOCID,104,1)&lt;&gt;"",INDEX(OHZ_HAZ_PORTOFLOADING,104,1)&lt;&gt;"",INDEX(OHZ_HAZ_PORTOFDISCHARGE,104,1)&lt;&gt;"",INDEX(OHZ_HAZ_DPGREF,104,1)&lt;&gt;"",INDEX(OHZ_HAZ_DGCLASSIFI,104,1)&lt;&gt;"",INDEX(OHZ_HAZ_TEXTUALREF,104,1)&lt;&gt;"",INDEX(OHZ_HAZ_IMOHAZARDC,104,1)&lt;&gt;"",INDEX(OHZ_HAZ_UNNUMBER,104,1)&lt;&gt;"",INDEX(OHZ_HAZ_TOTAMOUNT,104,1)&lt;&gt;"",INDEX(OHZ_HAZ_PACKINGGRO,104,1)&lt;&gt;"",INDEX(OHZ_HAZ_FLASHPOINT,104,1)&lt;&gt;"",INDEX(OHZ_HAZ_MARPOLCODE,104,1)&lt;&gt;"",INDEX(OHZ_HAZ_PACTYPE,104,1)&lt;&gt;"",INDEX(OHZ_HAZ_TOTALPACKA,104,1)&lt;&gt;"",INDEX(OHZ_HAZ_ADDITIONAL,104,1)&lt;&gt;"",INDEX(OHZ_HAZ_EMS,104,1)&lt;&gt;"",INDEX(OHZ_HAZ_SUBSIDIARY,104,1)&lt;&gt;"",INDEX(OHZ_HAZ_UNITTYPE,104,1)&lt;&gt;"",INDEX(OHZ_HAZ_TEUID,104,1)&lt;&gt;"",INDEX(OHZ_HAZ_LOCATION,104,1)&lt;&gt;"",INDEX(OHZ_HAZ_PACKAGES,104,1)&lt;&gt;"",INDEX(OHZ_HAZ_AMOUNT,104,1)&lt;&gt;"",),IF(OR(INDEX(OHZ_HAZ_DGCLASSIFI,104,1)="",INDEX(OHZ_HAZ_TEXTUALREF,104,1)="",INDEX(OHZ_HAZ_TOTAMOUNT,104,1)="",INDEX(OHZ_HAZ_DPGREF,104,1)="",INDEX(OHZ_HAZ_CONSIGNMENT,104,1)="",),FALSE,TRUE),TRUE)</f>
        <v>1</v>
      </c>
      <c r="K111" s="237" t="str">
        <f t="shared" si="4"/>
        <v>Row 104 - All mandatory fields must be given</v>
      </c>
      <c r="L111" s="236" t="s">
        <v>1853</v>
      </c>
      <c r="S111" s="52"/>
      <c r="T111" s="52" t="s">
        <v>2196</v>
      </c>
      <c r="V111" s="52"/>
    </row>
    <row r="112" spans="4:22">
      <c r="D112" s="313" t="b">
        <f>COUNTIF(Waste_delivery_status,WAS_OVE_STATUS)=1</f>
        <v>0</v>
      </c>
      <c r="E112" s="313" t="s">
        <v>2000</v>
      </c>
      <c r="F112" s="236" t="s">
        <v>1853</v>
      </c>
      <c r="G112" s="250" t="b">
        <f>IF(OR(INDEX(IHZ_HAZ_CONSIGNMENT,105,1)&lt;&gt;"",INDEX(IHZ_HAZ_TRANSDOCID,105,1)&lt;&gt;"",INDEX(IHZ_HAZ_PORTOFLOADING,105,1)&lt;&gt;"",INDEX(IHZ_HAZ_PORTOFDISCHARGE,105,1)&lt;&gt;"",INDEX(IHZ_HAZ_DPGREF,105,1)&lt;&gt;"",INDEX(IHZ_HAZ_DGCLASSIFI,105,1)&lt;&gt;"",INDEX(IHZ_HAZ_TEXTUALREF,105,1)&lt;&gt;"",INDEX(IHZ_HAZ_IMOHAZARDC,105,1)&lt;&gt;"",INDEX(IHZ_HAZ_UNNUMBER,105,1)&lt;&gt;"",INDEX(IHZ_HAZ_TOTAMOUNT,105,1)&lt;&gt;"",INDEX(IHZ_HAZ_PACKINGGRO,105,1)&lt;&gt;"",INDEX(IHZ_HAZ_FLASHPOINT,105,1)&lt;&gt;"",INDEX(IHZ_HAZ_MARPOLCODE,105,1)&lt;&gt;"",INDEX(IHZ_HAZ_PACTYPE,105,1)&lt;&gt;"",INDEX(IHZ_HAZ_TOTALPACKA,105,1)&lt;&gt;"",INDEX(IHZ_HAZ_ADDITIONAL,105,1)&lt;&gt;"",INDEX(IHZ_HAZ_EMS,105,1)&lt;&gt;"",INDEX(IHZ_HAZ_SUBSIDIARY,105,1)&lt;&gt;"",INDEX(IHZ_HAZ_UNITTYPE,105,1)&lt;&gt;"",INDEX(IHZ_HAZ_TEUID,105,1)&lt;&gt;"",INDEX(IHZ_HAZ_LOCATION,105,1)&lt;&gt;"",INDEX(IHZ_HAZ_PACKAGES,105,1)&lt;&gt;"",INDEX(IHZ_HAZ_AMOUNT,105,1)&lt;&gt;"",),IF(OR(INDEX(IHZ_HAZ_DGCLASSIFI,105,1)="",INDEX(IHZ_HAZ_TEXTUALREF,105,1)="",INDEX(IHZ_HAZ_TOTAMOUNT,105,1)="",INDEX(IHZ_HAZ_DPGREF,105,1)="",INDEX(IHZ_HAZ_CONSIGNMENT,105,1)="",),FALSE,TRUE),TRUE)</f>
        <v>1</v>
      </c>
      <c r="H112" s="237" t="str">
        <f t="shared" si="3"/>
        <v>Row 105 - All mandatory fields must be given</v>
      </c>
      <c r="I112" s="236" t="s">
        <v>1853</v>
      </c>
      <c r="J112" s="52" t="b">
        <f>IF(OR(INDEX(OHZ_HAZ_CONSIGNMENT,105,1)&lt;&gt;"",INDEX(OHZ_HAZ_TRANSDOCID,105,1)&lt;&gt;"",INDEX(OHZ_HAZ_PORTOFLOADING,105,1)&lt;&gt;"",INDEX(OHZ_HAZ_PORTOFDISCHARGE,105,1)&lt;&gt;"",INDEX(OHZ_HAZ_DPGREF,105,1)&lt;&gt;"",INDEX(OHZ_HAZ_DGCLASSIFI,105,1)&lt;&gt;"",INDEX(OHZ_HAZ_TEXTUALREF,105,1)&lt;&gt;"",INDEX(OHZ_HAZ_IMOHAZARDC,105,1)&lt;&gt;"",INDEX(OHZ_HAZ_UNNUMBER,105,1)&lt;&gt;"",INDEX(OHZ_HAZ_TOTAMOUNT,105,1)&lt;&gt;"",INDEX(OHZ_HAZ_PACKINGGRO,105,1)&lt;&gt;"",INDEX(OHZ_HAZ_FLASHPOINT,105,1)&lt;&gt;"",INDEX(OHZ_HAZ_MARPOLCODE,105,1)&lt;&gt;"",INDEX(OHZ_HAZ_PACTYPE,105,1)&lt;&gt;"",INDEX(OHZ_HAZ_TOTALPACKA,105,1)&lt;&gt;"",INDEX(OHZ_HAZ_ADDITIONAL,105,1)&lt;&gt;"",INDEX(OHZ_HAZ_EMS,105,1)&lt;&gt;"",INDEX(OHZ_HAZ_SUBSIDIARY,105,1)&lt;&gt;"",INDEX(OHZ_HAZ_UNITTYPE,105,1)&lt;&gt;"",INDEX(OHZ_HAZ_TEUID,105,1)&lt;&gt;"",INDEX(OHZ_HAZ_LOCATION,105,1)&lt;&gt;"",INDEX(OHZ_HAZ_PACKAGES,105,1)&lt;&gt;"",INDEX(OHZ_HAZ_AMOUNT,105,1)&lt;&gt;"",),IF(OR(INDEX(OHZ_HAZ_DGCLASSIFI,105,1)="",INDEX(OHZ_HAZ_TEXTUALREF,105,1)="",INDEX(OHZ_HAZ_TOTAMOUNT,105,1)="",INDEX(OHZ_HAZ_DPGREF,105,1)="",INDEX(OHZ_HAZ_CONSIGNMENT,105,1)="",),FALSE,TRUE),TRUE)</f>
        <v>1</v>
      </c>
      <c r="K112" s="237" t="str">
        <f t="shared" si="4"/>
        <v>Row 105 - All mandatory fields must be given</v>
      </c>
      <c r="L112" s="236" t="s">
        <v>1853</v>
      </c>
      <c r="S112" s="52"/>
      <c r="T112" s="52" t="s">
        <v>2197</v>
      </c>
      <c r="V112" s="52"/>
    </row>
    <row r="113" spans="4:22">
      <c r="D113" s="313" t="b">
        <f>SUMPRODUCT(--(LEN(WAS_ITE_TYPEDESCRI)&gt;255))=0</f>
        <v>1</v>
      </c>
      <c r="E113" s="313" t="s">
        <v>1998</v>
      </c>
      <c r="F113" s="236" t="s">
        <v>1853</v>
      </c>
      <c r="G113" s="250" t="b">
        <f>IF(OR(INDEX(IHZ_HAZ_CONSIGNMENT,106,1)&lt;&gt;"",INDEX(IHZ_HAZ_TRANSDOCID,106,1)&lt;&gt;"",INDEX(IHZ_HAZ_PORTOFLOADING,106,1)&lt;&gt;"",INDEX(IHZ_HAZ_PORTOFDISCHARGE,106,1)&lt;&gt;"",INDEX(IHZ_HAZ_DPGREF,106,1)&lt;&gt;"",INDEX(IHZ_HAZ_DGCLASSIFI,106,1)&lt;&gt;"",INDEX(IHZ_HAZ_TEXTUALREF,106,1)&lt;&gt;"",INDEX(IHZ_HAZ_IMOHAZARDC,106,1)&lt;&gt;"",INDEX(IHZ_HAZ_UNNUMBER,106,1)&lt;&gt;"",INDEX(IHZ_HAZ_TOTAMOUNT,106,1)&lt;&gt;"",INDEX(IHZ_HAZ_PACKINGGRO,106,1)&lt;&gt;"",INDEX(IHZ_HAZ_FLASHPOINT,106,1)&lt;&gt;"",INDEX(IHZ_HAZ_MARPOLCODE,106,1)&lt;&gt;"",INDEX(IHZ_HAZ_PACTYPE,106,1)&lt;&gt;"",INDEX(IHZ_HAZ_TOTALPACKA,106,1)&lt;&gt;"",INDEX(IHZ_HAZ_ADDITIONAL,106,1)&lt;&gt;"",INDEX(IHZ_HAZ_EMS,106,1)&lt;&gt;"",INDEX(IHZ_HAZ_SUBSIDIARY,106,1)&lt;&gt;"",INDEX(IHZ_HAZ_UNITTYPE,106,1)&lt;&gt;"",INDEX(IHZ_HAZ_TEUID,106,1)&lt;&gt;"",INDEX(IHZ_HAZ_LOCATION,106,1)&lt;&gt;"",INDEX(IHZ_HAZ_PACKAGES,106,1)&lt;&gt;"",INDEX(IHZ_HAZ_AMOUNT,106,1)&lt;&gt;"",),IF(OR(INDEX(IHZ_HAZ_DGCLASSIFI,106,1)="",INDEX(IHZ_HAZ_TEXTUALREF,106,1)="",INDEX(IHZ_HAZ_TOTAMOUNT,106,1)="",INDEX(IHZ_HAZ_DPGREF,106,1)="",INDEX(IHZ_HAZ_CONSIGNMENT,106,1)="",),FALSE,TRUE),TRUE)</f>
        <v>1</v>
      </c>
      <c r="H113" s="237" t="str">
        <f t="shared" si="3"/>
        <v>Row 106 - All mandatory fields must be given</v>
      </c>
      <c r="I113" s="236" t="s">
        <v>1853</v>
      </c>
      <c r="J113" s="52" t="b">
        <f>IF(OR(INDEX(OHZ_HAZ_CONSIGNMENT,106,1)&lt;&gt;"",INDEX(OHZ_HAZ_TRANSDOCID,106,1)&lt;&gt;"",INDEX(OHZ_HAZ_PORTOFLOADING,106,1)&lt;&gt;"",INDEX(OHZ_HAZ_PORTOFDISCHARGE,106,1)&lt;&gt;"",INDEX(OHZ_HAZ_DPGREF,106,1)&lt;&gt;"",INDEX(OHZ_HAZ_DGCLASSIFI,106,1)&lt;&gt;"",INDEX(OHZ_HAZ_TEXTUALREF,106,1)&lt;&gt;"",INDEX(OHZ_HAZ_IMOHAZARDC,106,1)&lt;&gt;"",INDEX(OHZ_HAZ_UNNUMBER,106,1)&lt;&gt;"",INDEX(OHZ_HAZ_TOTAMOUNT,106,1)&lt;&gt;"",INDEX(OHZ_HAZ_PACKINGGRO,106,1)&lt;&gt;"",INDEX(OHZ_HAZ_FLASHPOINT,106,1)&lt;&gt;"",INDEX(OHZ_HAZ_MARPOLCODE,106,1)&lt;&gt;"",INDEX(OHZ_HAZ_PACTYPE,106,1)&lt;&gt;"",INDEX(OHZ_HAZ_TOTALPACKA,106,1)&lt;&gt;"",INDEX(OHZ_HAZ_ADDITIONAL,106,1)&lt;&gt;"",INDEX(OHZ_HAZ_EMS,106,1)&lt;&gt;"",INDEX(OHZ_HAZ_SUBSIDIARY,106,1)&lt;&gt;"",INDEX(OHZ_HAZ_UNITTYPE,106,1)&lt;&gt;"",INDEX(OHZ_HAZ_TEUID,106,1)&lt;&gt;"",INDEX(OHZ_HAZ_LOCATION,106,1)&lt;&gt;"",INDEX(OHZ_HAZ_PACKAGES,106,1)&lt;&gt;"",INDEX(OHZ_HAZ_AMOUNT,106,1)&lt;&gt;"",),IF(OR(INDEX(OHZ_HAZ_DGCLASSIFI,106,1)="",INDEX(OHZ_HAZ_TEXTUALREF,106,1)="",INDEX(OHZ_HAZ_TOTAMOUNT,106,1)="",INDEX(OHZ_HAZ_DPGREF,106,1)="",INDEX(OHZ_HAZ_CONSIGNMENT,106,1)="",),FALSE,TRUE),TRUE)</f>
        <v>1</v>
      </c>
      <c r="K113" s="237" t="str">
        <f t="shared" si="4"/>
        <v>Row 106 - All mandatory fields must be given</v>
      </c>
      <c r="L113" s="236" t="s">
        <v>1853</v>
      </c>
      <c r="S113" s="52"/>
      <c r="T113" s="52" t="s">
        <v>2198</v>
      </c>
      <c r="V113" s="52"/>
    </row>
    <row r="114" spans="4:22">
      <c r="D114" s="313" t="b">
        <f>IF(OR(ISBLANK(SUM(WAS_ITE_MAXSTORAG)),AND(ISNUMBER(SUM(WAS_ITE_MAXSTORAG)),LEN(SUM(WAS_ITE_MAXSTORAG))-(IF(ISNUMBER(SEARCH(".",SUM(WAS_ITE_MAXSTORAG))),SEARCH(".",SUM(WAS_ITE_MAXSTORAG)),LEN(SUM(WAS_ITE_MAXSTORAG))))&lt;=3,SUM(WAS_ITE_MAXSTORAG)&lt;=9999999999999)),TRUE(),FALSE())</f>
        <v>1</v>
      </c>
      <c r="E114" s="313" t="s">
        <v>1997</v>
      </c>
      <c r="F114" s="236" t="s">
        <v>1853</v>
      </c>
      <c r="G114" s="250" t="b">
        <f>IF(OR(INDEX(IHZ_HAZ_CONSIGNMENT,107,1)&lt;&gt;"",INDEX(IHZ_HAZ_TRANSDOCID,107,1)&lt;&gt;"",INDEX(IHZ_HAZ_PORTOFLOADING,107,1)&lt;&gt;"",INDEX(IHZ_HAZ_PORTOFDISCHARGE,107,1)&lt;&gt;"",INDEX(IHZ_HAZ_DPGREF,107,1)&lt;&gt;"",INDEX(IHZ_HAZ_DGCLASSIFI,107,1)&lt;&gt;"",INDEX(IHZ_HAZ_TEXTUALREF,107,1)&lt;&gt;"",INDEX(IHZ_HAZ_IMOHAZARDC,107,1)&lt;&gt;"",INDEX(IHZ_HAZ_UNNUMBER,107,1)&lt;&gt;"",INDEX(IHZ_HAZ_TOTAMOUNT,107,1)&lt;&gt;"",INDEX(IHZ_HAZ_PACKINGGRO,107,1)&lt;&gt;"",INDEX(IHZ_HAZ_FLASHPOINT,107,1)&lt;&gt;"",INDEX(IHZ_HAZ_MARPOLCODE,107,1)&lt;&gt;"",INDEX(IHZ_HAZ_PACTYPE,107,1)&lt;&gt;"",INDEX(IHZ_HAZ_TOTALPACKA,107,1)&lt;&gt;"",INDEX(IHZ_HAZ_ADDITIONAL,107,1)&lt;&gt;"",INDEX(IHZ_HAZ_EMS,107,1)&lt;&gt;"",INDEX(IHZ_HAZ_SUBSIDIARY,107,1)&lt;&gt;"",INDEX(IHZ_HAZ_UNITTYPE,107,1)&lt;&gt;"",INDEX(IHZ_HAZ_TEUID,107,1)&lt;&gt;"",INDEX(IHZ_HAZ_LOCATION,107,1)&lt;&gt;"",INDEX(IHZ_HAZ_PACKAGES,107,1)&lt;&gt;"",INDEX(IHZ_HAZ_AMOUNT,107,1)&lt;&gt;"",),IF(OR(INDEX(IHZ_HAZ_DGCLASSIFI,107,1)="",INDEX(IHZ_HAZ_TEXTUALREF,107,1)="",INDEX(IHZ_HAZ_TOTAMOUNT,107,1)="",INDEX(IHZ_HAZ_DPGREF,107,1)="",INDEX(IHZ_HAZ_CONSIGNMENT,107,1)="",),FALSE,TRUE),TRUE)</f>
        <v>1</v>
      </c>
      <c r="H114" s="237" t="str">
        <f t="shared" si="3"/>
        <v>Row 107 - All mandatory fields must be given</v>
      </c>
      <c r="I114" s="236" t="s">
        <v>1853</v>
      </c>
      <c r="J114" s="52" t="b">
        <f>IF(OR(INDEX(OHZ_HAZ_CONSIGNMENT,107,1)&lt;&gt;"",INDEX(OHZ_HAZ_TRANSDOCID,107,1)&lt;&gt;"",INDEX(OHZ_HAZ_PORTOFLOADING,107,1)&lt;&gt;"",INDEX(OHZ_HAZ_PORTOFDISCHARGE,107,1)&lt;&gt;"",INDEX(OHZ_HAZ_DPGREF,107,1)&lt;&gt;"",INDEX(OHZ_HAZ_DGCLASSIFI,107,1)&lt;&gt;"",INDEX(OHZ_HAZ_TEXTUALREF,107,1)&lt;&gt;"",INDEX(OHZ_HAZ_IMOHAZARDC,107,1)&lt;&gt;"",INDEX(OHZ_HAZ_UNNUMBER,107,1)&lt;&gt;"",INDEX(OHZ_HAZ_TOTAMOUNT,107,1)&lt;&gt;"",INDEX(OHZ_HAZ_PACKINGGRO,107,1)&lt;&gt;"",INDEX(OHZ_HAZ_FLASHPOINT,107,1)&lt;&gt;"",INDEX(OHZ_HAZ_MARPOLCODE,107,1)&lt;&gt;"",INDEX(OHZ_HAZ_PACTYPE,107,1)&lt;&gt;"",INDEX(OHZ_HAZ_TOTALPACKA,107,1)&lt;&gt;"",INDEX(OHZ_HAZ_ADDITIONAL,107,1)&lt;&gt;"",INDEX(OHZ_HAZ_EMS,107,1)&lt;&gt;"",INDEX(OHZ_HAZ_SUBSIDIARY,107,1)&lt;&gt;"",INDEX(OHZ_HAZ_UNITTYPE,107,1)&lt;&gt;"",INDEX(OHZ_HAZ_TEUID,107,1)&lt;&gt;"",INDEX(OHZ_HAZ_LOCATION,107,1)&lt;&gt;"",INDEX(OHZ_HAZ_PACKAGES,107,1)&lt;&gt;"",INDEX(OHZ_HAZ_AMOUNT,107,1)&lt;&gt;"",),IF(OR(INDEX(OHZ_HAZ_DGCLASSIFI,107,1)="",INDEX(OHZ_HAZ_TEXTUALREF,107,1)="",INDEX(OHZ_HAZ_TOTAMOUNT,107,1)="",INDEX(OHZ_HAZ_DPGREF,107,1)="",INDEX(OHZ_HAZ_CONSIGNMENT,107,1)="",),FALSE,TRUE),TRUE)</f>
        <v>1</v>
      </c>
      <c r="K114" s="237" t="str">
        <f t="shared" si="4"/>
        <v>Row 107 - All mandatory fields must be given</v>
      </c>
      <c r="L114" s="236" t="s">
        <v>1853</v>
      </c>
      <c r="S114" s="52"/>
      <c r="T114" s="52" t="s">
        <v>2199</v>
      </c>
      <c r="V114" s="52"/>
    </row>
    <row r="115" spans="4:22">
      <c r="D115" s="313" t="b">
        <f>IF(OR(ISBLANK(SUM(WAS_ITE_RETAINED)),AND(ISNUMBER(SUM(WAS_ITE_RETAINED)),LEN(SUM(WAS_ITE_RETAINED))-(IF(ISNUMBER(SEARCH(".",SUM(WAS_ITE_RETAINED))),SEARCH(".",SUM(WAS_ITE_RETAINED)),LEN(SUM(WAS_ITE_RETAINED))))&lt;=3,SUM(WAS_ITE_RETAINED)&lt;=9999999999999)),TRUE(),FALSE())</f>
        <v>1</v>
      </c>
      <c r="E115" s="313" t="s">
        <v>1999</v>
      </c>
      <c r="F115" s="236" t="s">
        <v>1853</v>
      </c>
      <c r="G115" s="250" t="b">
        <f>IF(OR(INDEX(IHZ_HAZ_CONSIGNMENT,108,1)&lt;&gt;"",INDEX(IHZ_HAZ_TRANSDOCID,108,1)&lt;&gt;"",INDEX(IHZ_HAZ_PORTOFLOADING,108,1)&lt;&gt;"",INDEX(IHZ_HAZ_PORTOFDISCHARGE,108,1)&lt;&gt;"",INDEX(IHZ_HAZ_DPGREF,108,1)&lt;&gt;"",INDEX(IHZ_HAZ_DGCLASSIFI,108,1)&lt;&gt;"",INDEX(IHZ_HAZ_TEXTUALREF,108,1)&lt;&gt;"",INDEX(IHZ_HAZ_IMOHAZARDC,108,1)&lt;&gt;"",INDEX(IHZ_HAZ_UNNUMBER,108,1)&lt;&gt;"",INDEX(IHZ_HAZ_TOTAMOUNT,108,1)&lt;&gt;"",INDEX(IHZ_HAZ_PACKINGGRO,108,1)&lt;&gt;"",INDEX(IHZ_HAZ_FLASHPOINT,108,1)&lt;&gt;"",INDEX(IHZ_HAZ_MARPOLCODE,108,1)&lt;&gt;"",INDEX(IHZ_HAZ_PACTYPE,108,1)&lt;&gt;"",INDEX(IHZ_HAZ_TOTALPACKA,108,1)&lt;&gt;"",INDEX(IHZ_HAZ_ADDITIONAL,108,1)&lt;&gt;"",INDEX(IHZ_HAZ_EMS,108,1)&lt;&gt;"",INDEX(IHZ_HAZ_SUBSIDIARY,108,1)&lt;&gt;"",INDEX(IHZ_HAZ_UNITTYPE,108,1)&lt;&gt;"",INDEX(IHZ_HAZ_TEUID,108,1)&lt;&gt;"",INDEX(IHZ_HAZ_LOCATION,108,1)&lt;&gt;"",INDEX(IHZ_HAZ_PACKAGES,108,1)&lt;&gt;"",INDEX(IHZ_HAZ_AMOUNT,108,1)&lt;&gt;"",),IF(OR(INDEX(IHZ_HAZ_DGCLASSIFI,108,1)="",INDEX(IHZ_HAZ_TEXTUALREF,108,1)="",INDEX(IHZ_HAZ_TOTAMOUNT,108,1)="",INDEX(IHZ_HAZ_DPGREF,108,1)="",INDEX(IHZ_HAZ_CONSIGNMENT,108,1)="",),FALSE,TRUE),TRUE)</f>
        <v>1</v>
      </c>
      <c r="H115" s="237" t="str">
        <f t="shared" si="3"/>
        <v>Row 108 - All mandatory fields must be given</v>
      </c>
      <c r="I115" s="236" t="s">
        <v>1853</v>
      </c>
      <c r="J115" s="52" t="b">
        <f>IF(OR(INDEX(OHZ_HAZ_CONSIGNMENT,108,1)&lt;&gt;"",INDEX(OHZ_HAZ_TRANSDOCID,108,1)&lt;&gt;"",INDEX(OHZ_HAZ_PORTOFLOADING,108,1)&lt;&gt;"",INDEX(OHZ_HAZ_PORTOFDISCHARGE,108,1)&lt;&gt;"",INDEX(OHZ_HAZ_DPGREF,108,1)&lt;&gt;"",INDEX(OHZ_HAZ_DGCLASSIFI,108,1)&lt;&gt;"",INDEX(OHZ_HAZ_TEXTUALREF,108,1)&lt;&gt;"",INDEX(OHZ_HAZ_IMOHAZARDC,108,1)&lt;&gt;"",INDEX(OHZ_HAZ_UNNUMBER,108,1)&lt;&gt;"",INDEX(OHZ_HAZ_TOTAMOUNT,108,1)&lt;&gt;"",INDEX(OHZ_HAZ_PACKINGGRO,108,1)&lt;&gt;"",INDEX(OHZ_HAZ_FLASHPOINT,108,1)&lt;&gt;"",INDEX(OHZ_HAZ_MARPOLCODE,108,1)&lt;&gt;"",INDEX(OHZ_HAZ_PACTYPE,108,1)&lt;&gt;"",INDEX(OHZ_HAZ_TOTALPACKA,108,1)&lt;&gt;"",INDEX(OHZ_HAZ_ADDITIONAL,108,1)&lt;&gt;"",INDEX(OHZ_HAZ_EMS,108,1)&lt;&gt;"",INDEX(OHZ_HAZ_SUBSIDIARY,108,1)&lt;&gt;"",INDEX(OHZ_HAZ_UNITTYPE,108,1)&lt;&gt;"",INDEX(OHZ_HAZ_TEUID,108,1)&lt;&gt;"",INDEX(OHZ_HAZ_LOCATION,108,1)&lt;&gt;"",INDEX(OHZ_HAZ_PACKAGES,108,1)&lt;&gt;"",INDEX(OHZ_HAZ_AMOUNT,108,1)&lt;&gt;"",),IF(OR(INDEX(OHZ_HAZ_DGCLASSIFI,108,1)="",INDEX(OHZ_HAZ_TEXTUALREF,108,1)="",INDEX(OHZ_HAZ_TOTAMOUNT,108,1)="",INDEX(OHZ_HAZ_DPGREF,108,1)="",INDEX(OHZ_HAZ_CONSIGNMENT,108,1)="",),FALSE,TRUE),TRUE)</f>
        <v>1</v>
      </c>
      <c r="K115" s="237" t="str">
        <f t="shared" si="4"/>
        <v>Row 108 - All mandatory fields must be given</v>
      </c>
      <c r="L115" s="236" t="s">
        <v>1853</v>
      </c>
      <c r="S115" s="52"/>
      <c r="T115" s="52" t="s">
        <v>2200</v>
      </c>
      <c r="V115" s="52"/>
    </row>
    <row r="116" spans="4:22">
      <c r="D116" s="313" t="b">
        <f>IF(OR(ISBLANK(SUM(WAS_ITE_GENERATED)),AND(ISNUMBER(SUM(WAS_ITE_GENERATED)),LEN(SUM(WAS_ITE_GENERATED))-(IF(ISNUMBER(SEARCH(".",SUM(WAS_ITE_GENERATED))),SEARCH(".",SUM(WAS_ITE_GENERATED)),LEN(SUM(WAS_ITE_GENERATED))))&lt;=3,SUM(WAS_ITE_GENERATED)&lt;=9999999999999)),TRUE(),FALSE())</f>
        <v>1</v>
      </c>
      <c r="E116" s="341" t="s">
        <v>2427</v>
      </c>
      <c r="F116" s="236" t="s">
        <v>1853</v>
      </c>
      <c r="G116" s="250" t="b">
        <f>IF(OR(INDEX(IHZ_HAZ_CONSIGNMENT,109,1)&lt;&gt;"",INDEX(IHZ_HAZ_TRANSDOCID,109,1)&lt;&gt;"",INDEX(IHZ_HAZ_PORTOFLOADING,109,1)&lt;&gt;"",INDEX(IHZ_HAZ_PORTOFDISCHARGE,109,1)&lt;&gt;"",INDEX(IHZ_HAZ_DPGREF,109,1)&lt;&gt;"",INDEX(IHZ_HAZ_DGCLASSIFI,109,1)&lt;&gt;"",INDEX(IHZ_HAZ_TEXTUALREF,109,1)&lt;&gt;"",INDEX(IHZ_HAZ_IMOHAZARDC,109,1)&lt;&gt;"",INDEX(IHZ_HAZ_UNNUMBER,109,1)&lt;&gt;"",INDEX(IHZ_HAZ_TOTAMOUNT,109,1)&lt;&gt;"",INDEX(IHZ_HAZ_PACKINGGRO,109,1)&lt;&gt;"",INDEX(IHZ_HAZ_FLASHPOINT,109,1)&lt;&gt;"",INDEX(IHZ_HAZ_MARPOLCODE,109,1)&lt;&gt;"",INDEX(IHZ_HAZ_PACTYPE,109,1)&lt;&gt;"",INDEX(IHZ_HAZ_TOTALPACKA,109,1)&lt;&gt;"",INDEX(IHZ_HAZ_ADDITIONAL,109,1)&lt;&gt;"",INDEX(IHZ_HAZ_EMS,109,1)&lt;&gt;"",INDEX(IHZ_HAZ_SUBSIDIARY,109,1)&lt;&gt;"",INDEX(IHZ_HAZ_UNITTYPE,109,1)&lt;&gt;"",INDEX(IHZ_HAZ_TEUID,109,1)&lt;&gt;"",INDEX(IHZ_HAZ_LOCATION,109,1)&lt;&gt;"",INDEX(IHZ_HAZ_PACKAGES,109,1)&lt;&gt;"",INDEX(IHZ_HAZ_AMOUNT,109,1)&lt;&gt;"",),IF(OR(INDEX(IHZ_HAZ_DGCLASSIFI,109,1)="",INDEX(IHZ_HAZ_TEXTUALREF,109,1)="",INDEX(IHZ_HAZ_TOTAMOUNT,109,1)="",INDEX(IHZ_HAZ_DPGREF,109,1)="",INDEX(IHZ_HAZ_CONSIGNMENT,109,1)="",),FALSE,TRUE),TRUE)</f>
        <v>1</v>
      </c>
      <c r="H116" s="237" t="str">
        <f t="shared" si="3"/>
        <v>Row 109 - All mandatory fields must be given</v>
      </c>
      <c r="I116" s="236" t="s">
        <v>1853</v>
      </c>
      <c r="J116" s="52" t="b">
        <f>IF(OR(INDEX(OHZ_HAZ_CONSIGNMENT,109,1)&lt;&gt;"",INDEX(OHZ_HAZ_TRANSDOCID,109,1)&lt;&gt;"",INDEX(OHZ_HAZ_PORTOFLOADING,109,1)&lt;&gt;"",INDEX(OHZ_HAZ_PORTOFDISCHARGE,109,1)&lt;&gt;"",INDEX(OHZ_HAZ_DPGREF,109,1)&lt;&gt;"",INDEX(OHZ_HAZ_DGCLASSIFI,109,1)&lt;&gt;"",INDEX(OHZ_HAZ_TEXTUALREF,109,1)&lt;&gt;"",INDEX(OHZ_HAZ_IMOHAZARDC,109,1)&lt;&gt;"",INDEX(OHZ_HAZ_UNNUMBER,109,1)&lt;&gt;"",INDEX(OHZ_HAZ_TOTAMOUNT,109,1)&lt;&gt;"",INDEX(OHZ_HAZ_PACKINGGRO,109,1)&lt;&gt;"",INDEX(OHZ_HAZ_FLASHPOINT,109,1)&lt;&gt;"",INDEX(OHZ_HAZ_MARPOLCODE,109,1)&lt;&gt;"",INDEX(OHZ_HAZ_PACTYPE,109,1)&lt;&gt;"",INDEX(OHZ_HAZ_TOTALPACKA,109,1)&lt;&gt;"",INDEX(OHZ_HAZ_ADDITIONAL,109,1)&lt;&gt;"",INDEX(OHZ_HAZ_EMS,109,1)&lt;&gt;"",INDEX(OHZ_HAZ_SUBSIDIARY,109,1)&lt;&gt;"",INDEX(OHZ_HAZ_UNITTYPE,109,1)&lt;&gt;"",INDEX(OHZ_HAZ_TEUID,109,1)&lt;&gt;"",INDEX(OHZ_HAZ_LOCATION,109,1)&lt;&gt;"",INDEX(OHZ_HAZ_PACKAGES,109,1)&lt;&gt;"",INDEX(OHZ_HAZ_AMOUNT,109,1)&lt;&gt;"",),IF(OR(INDEX(OHZ_HAZ_DGCLASSIFI,109,1)="",INDEX(OHZ_HAZ_TEXTUALREF,109,1)="",INDEX(OHZ_HAZ_TOTAMOUNT,109,1)="",INDEX(OHZ_HAZ_DPGREF,109,1)="",INDEX(OHZ_HAZ_CONSIGNMENT,109,1)="",),FALSE,TRUE),TRUE)</f>
        <v>1</v>
      </c>
      <c r="K116" s="237" t="str">
        <f t="shared" si="4"/>
        <v>Row 109 - All mandatory fields must be given</v>
      </c>
      <c r="L116" s="236" t="s">
        <v>1853</v>
      </c>
      <c r="S116" s="52"/>
      <c r="T116" s="52" t="s">
        <v>2201</v>
      </c>
      <c r="V116" s="52"/>
    </row>
    <row r="117" spans="4:22" ht="26.4">
      <c r="D117" s="313" t="b">
        <f>OR(INDEX(WAS_ITE_CATEGORY,1,1)="",COUNTIF(Waste_Categories,INDEX(WAS_ITE_CATEGORY,1,1))=1)</f>
        <v>1</v>
      </c>
      <c r="E117" s="329" t="s">
        <v>2426</v>
      </c>
      <c r="F117" s="236" t="s">
        <v>1853</v>
      </c>
      <c r="G117" s="250" t="b">
        <f>IF(OR(INDEX(IHZ_HAZ_CONSIGNMENT,110,1)&lt;&gt;"",INDEX(IHZ_HAZ_TRANSDOCID,110,1)&lt;&gt;"",INDEX(IHZ_HAZ_PORTOFLOADING,110,1)&lt;&gt;"",INDEX(IHZ_HAZ_PORTOFDISCHARGE,110,1)&lt;&gt;"",INDEX(IHZ_HAZ_DPGREF,110,1)&lt;&gt;"",INDEX(IHZ_HAZ_DGCLASSIFI,110,1)&lt;&gt;"",INDEX(IHZ_HAZ_TEXTUALREF,110,1)&lt;&gt;"",INDEX(IHZ_HAZ_IMOHAZARDC,110,1)&lt;&gt;"",INDEX(IHZ_HAZ_UNNUMBER,110,1)&lt;&gt;"",INDEX(IHZ_HAZ_TOTAMOUNT,110,1)&lt;&gt;"",INDEX(IHZ_HAZ_PACKINGGRO,110,1)&lt;&gt;"",INDEX(IHZ_HAZ_FLASHPOINT,110,1)&lt;&gt;"",INDEX(IHZ_HAZ_MARPOLCODE,110,1)&lt;&gt;"",INDEX(IHZ_HAZ_PACTYPE,110,1)&lt;&gt;"",INDEX(IHZ_HAZ_TOTALPACKA,110,1)&lt;&gt;"",INDEX(IHZ_HAZ_ADDITIONAL,110,1)&lt;&gt;"",INDEX(IHZ_HAZ_EMS,110,1)&lt;&gt;"",INDEX(IHZ_HAZ_SUBSIDIARY,110,1)&lt;&gt;"",INDEX(IHZ_HAZ_UNITTYPE,110,1)&lt;&gt;"",INDEX(IHZ_HAZ_TEUID,110,1)&lt;&gt;"",INDEX(IHZ_HAZ_LOCATION,110,1)&lt;&gt;"",INDEX(IHZ_HAZ_PACKAGES,110,1)&lt;&gt;"",INDEX(IHZ_HAZ_AMOUNT,110,1)&lt;&gt;"",),IF(OR(INDEX(IHZ_HAZ_DGCLASSIFI,110,1)="",INDEX(IHZ_HAZ_TEXTUALREF,110,1)="",INDEX(IHZ_HAZ_TOTAMOUNT,110,1)="",INDEX(IHZ_HAZ_DPGREF,110,1)="",INDEX(IHZ_HAZ_CONSIGNMENT,110,1)="",),FALSE,TRUE),TRUE)</f>
        <v>1</v>
      </c>
      <c r="H117" s="237" t="str">
        <f t="shared" si="3"/>
        <v>Row 110 - All mandatory fields must be given</v>
      </c>
      <c r="I117" s="236" t="s">
        <v>1853</v>
      </c>
      <c r="J117" s="52" t="b">
        <f>IF(OR(INDEX(OHZ_HAZ_CONSIGNMENT,110,1)&lt;&gt;"",INDEX(OHZ_HAZ_TRANSDOCID,110,1)&lt;&gt;"",INDEX(OHZ_HAZ_PORTOFLOADING,110,1)&lt;&gt;"",INDEX(OHZ_HAZ_PORTOFDISCHARGE,110,1)&lt;&gt;"",INDEX(OHZ_HAZ_DPGREF,110,1)&lt;&gt;"",INDEX(OHZ_HAZ_DGCLASSIFI,110,1)&lt;&gt;"",INDEX(OHZ_HAZ_TEXTUALREF,110,1)&lt;&gt;"",INDEX(OHZ_HAZ_IMOHAZARDC,110,1)&lt;&gt;"",INDEX(OHZ_HAZ_UNNUMBER,110,1)&lt;&gt;"",INDEX(OHZ_HAZ_TOTAMOUNT,110,1)&lt;&gt;"",INDEX(OHZ_HAZ_PACKINGGRO,110,1)&lt;&gt;"",INDEX(OHZ_HAZ_FLASHPOINT,110,1)&lt;&gt;"",INDEX(OHZ_HAZ_MARPOLCODE,110,1)&lt;&gt;"",INDEX(OHZ_HAZ_PACTYPE,110,1)&lt;&gt;"",INDEX(OHZ_HAZ_TOTALPACKA,110,1)&lt;&gt;"",INDEX(OHZ_HAZ_ADDITIONAL,110,1)&lt;&gt;"",INDEX(OHZ_HAZ_EMS,110,1)&lt;&gt;"",INDEX(OHZ_HAZ_SUBSIDIARY,110,1)&lt;&gt;"",INDEX(OHZ_HAZ_UNITTYPE,110,1)&lt;&gt;"",INDEX(OHZ_HAZ_TEUID,110,1)&lt;&gt;"",INDEX(OHZ_HAZ_LOCATION,110,1)&lt;&gt;"",INDEX(OHZ_HAZ_PACKAGES,110,1)&lt;&gt;"",INDEX(OHZ_HAZ_AMOUNT,110,1)&lt;&gt;"",),IF(OR(INDEX(OHZ_HAZ_DGCLASSIFI,110,1)="",INDEX(OHZ_HAZ_TEXTUALREF,110,1)="",INDEX(OHZ_HAZ_TOTAMOUNT,110,1)="",INDEX(OHZ_HAZ_DPGREF,110,1)="",INDEX(OHZ_HAZ_CONSIGNMENT,110,1)="",),FALSE,TRUE),TRUE)</f>
        <v>1</v>
      </c>
      <c r="K117" s="237" t="str">
        <f t="shared" si="4"/>
        <v>Row 110 - All mandatory fields must be given</v>
      </c>
      <c r="L117" s="236" t="s">
        <v>1853</v>
      </c>
      <c r="S117" s="52"/>
      <c r="T117" s="52" t="s">
        <v>2202</v>
      </c>
      <c r="V117" s="52"/>
    </row>
    <row r="118" spans="4:22">
      <c r="E118" s="313" t="e">
        <f ca="1">OR(INDEX(WAS_ITE_TYPE,1,1)="",COUNTIF(INDIRECT(INDEX(WAS_ITE_CATEGORY,1,1)),INDEX(WAS_ITE_TYPE,1,1))=1)</f>
        <v>#REF!</v>
      </c>
      <c r="F118" s="236" t="s">
        <v>1853</v>
      </c>
      <c r="G118" s="250" t="b">
        <f>IF(OR(INDEX(IHZ_HAZ_CONSIGNMENT,111,1)&lt;&gt;"",INDEX(IHZ_HAZ_TRANSDOCID,111,1)&lt;&gt;"",INDEX(IHZ_HAZ_PORTOFLOADING,111,1)&lt;&gt;"",INDEX(IHZ_HAZ_PORTOFDISCHARGE,111,1)&lt;&gt;"",INDEX(IHZ_HAZ_DPGREF,111,1)&lt;&gt;"",INDEX(IHZ_HAZ_DGCLASSIFI,111,1)&lt;&gt;"",INDEX(IHZ_HAZ_TEXTUALREF,111,1)&lt;&gt;"",INDEX(IHZ_HAZ_IMOHAZARDC,111,1)&lt;&gt;"",INDEX(IHZ_HAZ_UNNUMBER,111,1)&lt;&gt;"",INDEX(IHZ_HAZ_TOTAMOUNT,111,1)&lt;&gt;"",INDEX(IHZ_HAZ_PACKINGGRO,111,1)&lt;&gt;"",INDEX(IHZ_HAZ_FLASHPOINT,111,1)&lt;&gt;"",INDEX(IHZ_HAZ_MARPOLCODE,111,1)&lt;&gt;"",INDEX(IHZ_HAZ_PACTYPE,111,1)&lt;&gt;"",INDEX(IHZ_HAZ_TOTALPACKA,111,1)&lt;&gt;"",INDEX(IHZ_HAZ_ADDITIONAL,111,1)&lt;&gt;"",INDEX(IHZ_HAZ_EMS,111,1)&lt;&gt;"",INDEX(IHZ_HAZ_SUBSIDIARY,111,1)&lt;&gt;"",INDEX(IHZ_HAZ_UNITTYPE,111,1)&lt;&gt;"",INDEX(IHZ_HAZ_TEUID,111,1)&lt;&gt;"",INDEX(IHZ_HAZ_LOCATION,111,1)&lt;&gt;"",INDEX(IHZ_HAZ_PACKAGES,111,1)&lt;&gt;"",INDEX(IHZ_HAZ_AMOUNT,111,1)&lt;&gt;"",),IF(OR(INDEX(IHZ_HAZ_DGCLASSIFI,111,1)="",INDEX(IHZ_HAZ_TEXTUALREF,111,1)="",INDEX(IHZ_HAZ_TOTAMOUNT,111,1)="",INDEX(IHZ_HAZ_DPGREF,111,1)="",INDEX(IHZ_HAZ_CONSIGNMENT,111,1)="",),FALSE,TRUE),TRUE)</f>
        <v>1</v>
      </c>
      <c r="H118" s="237" t="str">
        <f t="shared" si="3"/>
        <v>Row 111 - All mandatory fields must be given</v>
      </c>
      <c r="I118" s="236" t="s">
        <v>1853</v>
      </c>
      <c r="J118" s="52" t="b">
        <f>IF(OR(INDEX(OHZ_HAZ_CONSIGNMENT,111,1)&lt;&gt;"",INDEX(OHZ_HAZ_TRANSDOCID,111,1)&lt;&gt;"",INDEX(OHZ_HAZ_PORTOFLOADING,111,1)&lt;&gt;"",INDEX(OHZ_HAZ_PORTOFDISCHARGE,111,1)&lt;&gt;"",INDEX(OHZ_HAZ_DPGREF,111,1)&lt;&gt;"",INDEX(OHZ_HAZ_DGCLASSIFI,111,1)&lt;&gt;"",INDEX(OHZ_HAZ_TEXTUALREF,111,1)&lt;&gt;"",INDEX(OHZ_HAZ_IMOHAZARDC,111,1)&lt;&gt;"",INDEX(OHZ_HAZ_UNNUMBER,111,1)&lt;&gt;"",INDEX(OHZ_HAZ_TOTAMOUNT,111,1)&lt;&gt;"",INDEX(OHZ_HAZ_PACKINGGRO,111,1)&lt;&gt;"",INDEX(OHZ_HAZ_FLASHPOINT,111,1)&lt;&gt;"",INDEX(OHZ_HAZ_MARPOLCODE,111,1)&lt;&gt;"",INDEX(OHZ_HAZ_PACTYPE,111,1)&lt;&gt;"",INDEX(OHZ_HAZ_TOTALPACKA,111,1)&lt;&gt;"",INDEX(OHZ_HAZ_ADDITIONAL,111,1)&lt;&gt;"",INDEX(OHZ_HAZ_EMS,111,1)&lt;&gt;"",INDEX(OHZ_HAZ_SUBSIDIARY,111,1)&lt;&gt;"",INDEX(OHZ_HAZ_UNITTYPE,111,1)&lt;&gt;"",INDEX(OHZ_HAZ_TEUID,111,1)&lt;&gt;"",INDEX(OHZ_HAZ_LOCATION,111,1)&lt;&gt;"",INDEX(OHZ_HAZ_PACKAGES,111,1)&lt;&gt;"",INDEX(OHZ_HAZ_AMOUNT,111,1)&lt;&gt;"",),IF(OR(INDEX(OHZ_HAZ_DGCLASSIFI,111,1)="",INDEX(OHZ_HAZ_TEXTUALREF,111,1)="",INDEX(OHZ_HAZ_TOTAMOUNT,111,1)="",INDEX(OHZ_HAZ_DPGREF,111,1)="",INDEX(OHZ_HAZ_CONSIGNMENT,111,1)="",),FALSE,TRUE),TRUE)</f>
        <v>1</v>
      </c>
      <c r="K118" s="237" t="str">
        <f t="shared" si="4"/>
        <v>Row 111 - All mandatory fields must be given</v>
      </c>
      <c r="L118" s="236" t="s">
        <v>1853</v>
      </c>
      <c r="S118" s="52"/>
      <c r="T118" s="52" t="s">
        <v>2203</v>
      </c>
      <c r="V118" s="52"/>
    </row>
    <row r="119" spans="4:22" ht="26.4">
      <c r="D119" s="313" t="b">
        <f>IF(ISREF(E118),TRUE,E118)</f>
        <v>1</v>
      </c>
      <c r="E119" s="330" t="s">
        <v>2425</v>
      </c>
      <c r="F119" s="236" t="s">
        <v>1853</v>
      </c>
      <c r="G119" s="250" t="b">
        <f>IF(OR(INDEX(IHZ_HAZ_CONSIGNMENT,112,1)&lt;&gt;"",INDEX(IHZ_HAZ_TRANSDOCID,112,1)&lt;&gt;"",INDEX(IHZ_HAZ_PORTOFLOADING,112,1)&lt;&gt;"",INDEX(IHZ_HAZ_PORTOFDISCHARGE,112,1)&lt;&gt;"",INDEX(IHZ_HAZ_DPGREF,112,1)&lt;&gt;"",INDEX(IHZ_HAZ_DGCLASSIFI,112,1)&lt;&gt;"",INDEX(IHZ_HAZ_TEXTUALREF,112,1)&lt;&gt;"",INDEX(IHZ_HAZ_IMOHAZARDC,112,1)&lt;&gt;"",INDEX(IHZ_HAZ_UNNUMBER,112,1)&lt;&gt;"",INDEX(IHZ_HAZ_TOTAMOUNT,112,1)&lt;&gt;"",INDEX(IHZ_HAZ_PACKINGGRO,112,1)&lt;&gt;"",INDEX(IHZ_HAZ_FLASHPOINT,112,1)&lt;&gt;"",INDEX(IHZ_HAZ_MARPOLCODE,112,1)&lt;&gt;"",INDEX(IHZ_HAZ_PACTYPE,112,1)&lt;&gt;"",INDEX(IHZ_HAZ_TOTALPACKA,112,1)&lt;&gt;"",INDEX(IHZ_HAZ_ADDITIONAL,112,1)&lt;&gt;"",INDEX(IHZ_HAZ_EMS,112,1)&lt;&gt;"",INDEX(IHZ_HAZ_SUBSIDIARY,112,1)&lt;&gt;"",INDEX(IHZ_HAZ_UNITTYPE,112,1)&lt;&gt;"",INDEX(IHZ_HAZ_TEUID,112,1)&lt;&gt;"",INDEX(IHZ_HAZ_LOCATION,112,1)&lt;&gt;"",INDEX(IHZ_HAZ_PACKAGES,112,1)&lt;&gt;"",INDEX(IHZ_HAZ_AMOUNT,112,1)&lt;&gt;"",),IF(OR(INDEX(IHZ_HAZ_DGCLASSIFI,112,1)="",INDEX(IHZ_HAZ_TEXTUALREF,112,1)="",INDEX(IHZ_HAZ_TOTAMOUNT,112,1)="",INDEX(IHZ_HAZ_DPGREF,112,1)="",INDEX(IHZ_HAZ_CONSIGNMENT,112,1)="",),FALSE,TRUE),TRUE)</f>
        <v>1</v>
      </c>
      <c r="H119" s="237" t="str">
        <f t="shared" si="3"/>
        <v>Row 112 - All mandatory fields must be given</v>
      </c>
      <c r="I119" s="236" t="s">
        <v>1853</v>
      </c>
      <c r="J119" s="52" t="b">
        <f>IF(OR(INDEX(OHZ_HAZ_CONSIGNMENT,112,1)&lt;&gt;"",INDEX(OHZ_HAZ_TRANSDOCID,112,1)&lt;&gt;"",INDEX(OHZ_HAZ_PORTOFLOADING,112,1)&lt;&gt;"",INDEX(OHZ_HAZ_PORTOFDISCHARGE,112,1)&lt;&gt;"",INDEX(OHZ_HAZ_DPGREF,112,1)&lt;&gt;"",INDEX(OHZ_HAZ_DGCLASSIFI,112,1)&lt;&gt;"",INDEX(OHZ_HAZ_TEXTUALREF,112,1)&lt;&gt;"",INDEX(OHZ_HAZ_IMOHAZARDC,112,1)&lt;&gt;"",INDEX(OHZ_HAZ_UNNUMBER,112,1)&lt;&gt;"",INDEX(OHZ_HAZ_TOTAMOUNT,112,1)&lt;&gt;"",INDEX(OHZ_HAZ_PACKINGGRO,112,1)&lt;&gt;"",INDEX(OHZ_HAZ_FLASHPOINT,112,1)&lt;&gt;"",INDEX(OHZ_HAZ_MARPOLCODE,112,1)&lt;&gt;"",INDEX(OHZ_HAZ_PACTYPE,112,1)&lt;&gt;"",INDEX(OHZ_HAZ_TOTALPACKA,112,1)&lt;&gt;"",INDEX(OHZ_HAZ_ADDITIONAL,112,1)&lt;&gt;"",INDEX(OHZ_HAZ_EMS,112,1)&lt;&gt;"",INDEX(OHZ_HAZ_SUBSIDIARY,112,1)&lt;&gt;"",INDEX(OHZ_HAZ_UNITTYPE,112,1)&lt;&gt;"",INDEX(OHZ_HAZ_TEUID,112,1)&lt;&gt;"",INDEX(OHZ_HAZ_LOCATION,112,1)&lt;&gt;"",INDEX(OHZ_HAZ_PACKAGES,112,1)&lt;&gt;"",INDEX(OHZ_HAZ_AMOUNT,112,1)&lt;&gt;"",),IF(OR(INDEX(OHZ_HAZ_DGCLASSIFI,112,1)="",INDEX(OHZ_HAZ_TEXTUALREF,112,1)="",INDEX(OHZ_HAZ_TOTAMOUNT,112,1)="",INDEX(OHZ_HAZ_DPGREF,112,1)="",INDEX(OHZ_HAZ_CONSIGNMENT,112,1)="",),FALSE,TRUE),TRUE)</f>
        <v>1</v>
      </c>
      <c r="K119" s="237" t="str">
        <f t="shared" si="4"/>
        <v>Row 112 - All mandatory fields must be given</v>
      </c>
      <c r="L119" s="236" t="s">
        <v>1853</v>
      </c>
      <c r="S119" s="52"/>
      <c r="T119" s="52" t="s">
        <v>2204</v>
      </c>
      <c r="V119" s="52"/>
    </row>
    <row r="120" spans="4:22" ht="26.4">
      <c r="D120" s="47" t="b">
        <f>OR(ISNA(INDEX(WAS_ITE_TYPECODE,1,1)),COUNTIF(REF_WASTE_TYPE_CODE[],INDEX(WAS_ITE_TYPECODE,1,1))=1)</f>
        <v>1</v>
      </c>
      <c r="E120" s="329" t="s">
        <v>2424</v>
      </c>
      <c r="F120" s="236" t="s">
        <v>1853</v>
      </c>
      <c r="G120" s="250" t="b">
        <f>IF(OR(INDEX(IHZ_HAZ_CONSIGNMENT,113,1)&lt;&gt;"",INDEX(IHZ_HAZ_TRANSDOCID,113,1)&lt;&gt;"",INDEX(IHZ_HAZ_PORTOFLOADING,113,1)&lt;&gt;"",INDEX(IHZ_HAZ_PORTOFDISCHARGE,113,1)&lt;&gt;"",INDEX(IHZ_HAZ_DPGREF,113,1)&lt;&gt;"",INDEX(IHZ_HAZ_DGCLASSIFI,113,1)&lt;&gt;"",INDEX(IHZ_HAZ_TEXTUALREF,113,1)&lt;&gt;"",INDEX(IHZ_HAZ_IMOHAZARDC,113,1)&lt;&gt;"",INDEX(IHZ_HAZ_UNNUMBER,113,1)&lt;&gt;"",INDEX(IHZ_HAZ_TOTAMOUNT,113,1)&lt;&gt;"",INDEX(IHZ_HAZ_PACKINGGRO,113,1)&lt;&gt;"",INDEX(IHZ_HAZ_FLASHPOINT,113,1)&lt;&gt;"",INDEX(IHZ_HAZ_MARPOLCODE,113,1)&lt;&gt;"",INDEX(IHZ_HAZ_PACTYPE,113,1)&lt;&gt;"",INDEX(IHZ_HAZ_TOTALPACKA,113,1)&lt;&gt;"",INDEX(IHZ_HAZ_ADDITIONAL,113,1)&lt;&gt;"",INDEX(IHZ_HAZ_EMS,113,1)&lt;&gt;"",INDEX(IHZ_HAZ_SUBSIDIARY,113,1)&lt;&gt;"",INDEX(IHZ_HAZ_UNITTYPE,113,1)&lt;&gt;"",INDEX(IHZ_HAZ_TEUID,113,1)&lt;&gt;"",INDEX(IHZ_HAZ_LOCATION,113,1)&lt;&gt;"",INDEX(IHZ_HAZ_PACKAGES,113,1)&lt;&gt;"",INDEX(IHZ_HAZ_AMOUNT,113,1)&lt;&gt;"",),IF(OR(INDEX(IHZ_HAZ_DGCLASSIFI,113,1)="",INDEX(IHZ_HAZ_TEXTUALREF,113,1)="",INDEX(IHZ_HAZ_TOTAMOUNT,113,1)="",INDEX(IHZ_HAZ_DPGREF,113,1)="",INDEX(IHZ_HAZ_CONSIGNMENT,113,1)="",),FALSE,TRUE),TRUE)</f>
        <v>1</v>
      </c>
      <c r="H120" s="237" t="str">
        <f t="shared" si="3"/>
        <v>Row 113 - All mandatory fields must be given</v>
      </c>
      <c r="I120" s="236" t="s">
        <v>1853</v>
      </c>
      <c r="J120" s="52" t="b">
        <f>IF(OR(INDEX(OHZ_HAZ_CONSIGNMENT,113,1)&lt;&gt;"",INDEX(OHZ_HAZ_TRANSDOCID,113,1)&lt;&gt;"",INDEX(OHZ_HAZ_PORTOFLOADING,113,1)&lt;&gt;"",INDEX(OHZ_HAZ_PORTOFDISCHARGE,113,1)&lt;&gt;"",INDEX(OHZ_HAZ_DPGREF,113,1)&lt;&gt;"",INDEX(OHZ_HAZ_DGCLASSIFI,113,1)&lt;&gt;"",INDEX(OHZ_HAZ_TEXTUALREF,113,1)&lt;&gt;"",INDEX(OHZ_HAZ_IMOHAZARDC,113,1)&lt;&gt;"",INDEX(OHZ_HAZ_UNNUMBER,113,1)&lt;&gt;"",INDEX(OHZ_HAZ_TOTAMOUNT,113,1)&lt;&gt;"",INDEX(OHZ_HAZ_PACKINGGRO,113,1)&lt;&gt;"",INDEX(OHZ_HAZ_FLASHPOINT,113,1)&lt;&gt;"",INDEX(OHZ_HAZ_MARPOLCODE,113,1)&lt;&gt;"",INDEX(OHZ_HAZ_PACTYPE,113,1)&lt;&gt;"",INDEX(OHZ_HAZ_TOTALPACKA,113,1)&lt;&gt;"",INDEX(OHZ_HAZ_ADDITIONAL,113,1)&lt;&gt;"",INDEX(OHZ_HAZ_EMS,113,1)&lt;&gt;"",INDEX(OHZ_HAZ_SUBSIDIARY,113,1)&lt;&gt;"",INDEX(OHZ_HAZ_UNITTYPE,113,1)&lt;&gt;"",INDEX(OHZ_HAZ_TEUID,113,1)&lt;&gt;"",INDEX(OHZ_HAZ_LOCATION,113,1)&lt;&gt;"",INDEX(OHZ_HAZ_PACKAGES,113,1)&lt;&gt;"",INDEX(OHZ_HAZ_AMOUNT,113,1)&lt;&gt;"",),IF(OR(INDEX(OHZ_HAZ_DGCLASSIFI,113,1)="",INDEX(OHZ_HAZ_TEXTUALREF,113,1)="",INDEX(OHZ_HAZ_TOTAMOUNT,113,1)="",INDEX(OHZ_HAZ_DPGREF,113,1)="",INDEX(OHZ_HAZ_CONSIGNMENT,113,1)="",),FALSE,TRUE),TRUE)</f>
        <v>1</v>
      </c>
      <c r="K120" s="237" t="str">
        <f t="shared" si="4"/>
        <v>Row 113 - All mandatory fields must be given</v>
      </c>
      <c r="L120" s="236" t="s">
        <v>1853</v>
      </c>
      <c r="S120" s="52"/>
      <c r="T120" s="52" t="s">
        <v>2205</v>
      </c>
      <c r="V120" s="52"/>
    </row>
    <row r="121" spans="4:22" ht="39.6">
      <c r="D121" s="47" t="b">
        <f>LEN(INDEX(WAS_ITE_TYPEDESCRI,1,1))&lt;256</f>
        <v>1</v>
      </c>
      <c r="E121" s="330" t="s">
        <v>2423</v>
      </c>
      <c r="F121" s="236" t="s">
        <v>1853</v>
      </c>
      <c r="G121" s="250" t="b">
        <f>IF(OR(INDEX(IHZ_HAZ_CONSIGNMENT,114,1)&lt;&gt;"",INDEX(IHZ_HAZ_TRANSDOCID,114,1)&lt;&gt;"",INDEX(IHZ_HAZ_PORTOFLOADING,114,1)&lt;&gt;"",INDEX(IHZ_HAZ_PORTOFDISCHARGE,114,1)&lt;&gt;"",INDEX(IHZ_HAZ_DPGREF,114,1)&lt;&gt;"",INDEX(IHZ_HAZ_DGCLASSIFI,114,1)&lt;&gt;"",INDEX(IHZ_HAZ_TEXTUALREF,114,1)&lt;&gt;"",INDEX(IHZ_HAZ_IMOHAZARDC,114,1)&lt;&gt;"",INDEX(IHZ_HAZ_UNNUMBER,114,1)&lt;&gt;"",INDEX(IHZ_HAZ_TOTAMOUNT,114,1)&lt;&gt;"",INDEX(IHZ_HAZ_PACKINGGRO,114,1)&lt;&gt;"",INDEX(IHZ_HAZ_FLASHPOINT,114,1)&lt;&gt;"",INDEX(IHZ_HAZ_MARPOLCODE,114,1)&lt;&gt;"",INDEX(IHZ_HAZ_PACTYPE,114,1)&lt;&gt;"",INDEX(IHZ_HAZ_TOTALPACKA,114,1)&lt;&gt;"",INDEX(IHZ_HAZ_ADDITIONAL,114,1)&lt;&gt;"",INDEX(IHZ_HAZ_EMS,114,1)&lt;&gt;"",INDEX(IHZ_HAZ_SUBSIDIARY,114,1)&lt;&gt;"",INDEX(IHZ_HAZ_UNITTYPE,114,1)&lt;&gt;"",INDEX(IHZ_HAZ_TEUID,114,1)&lt;&gt;"",INDEX(IHZ_HAZ_LOCATION,114,1)&lt;&gt;"",INDEX(IHZ_HAZ_PACKAGES,114,1)&lt;&gt;"",INDEX(IHZ_HAZ_AMOUNT,114,1)&lt;&gt;"",),IF(OR(INDEX(IHZ_HAZ_DGCLASSIFI,114,1)="",INDEX(IHZ_HAZ_TEXTUALREF,114,1)="",INDEX(IHZ_HAZ_TOTAMOUNT,114,1)="",INDEX(IHZ_HAZ_DPGREF,114,1)="",INDEX(IHZ_HAZ_CONSIGNMENT,114,1)="",),FALSE,TRUE),TRUE)</f>
        <v>1</v>
      </c>
      <c r="H121" s="237" t="str">
        <f t="shared" si="3"/>
        <v>Row 114 - All mandatory fields must be given</v>
      </c>
      <c r="I121" s="236" t="s">
        <v>1853</v>
      </c>
      <c r="J121" s="52" t="b">
        <f>IF(OR(INDEX(OHZ_HAZ_CONSIGNMENT,114,1)&lt;&gt;"",INDEX(OHZ_HAZ_TRANSDOCID,114,1)&lt;&gt;"",INDEX(OHZ_HAZ_PORTOFLOADING,114,1)&lt;&gt;"",INDEX(OHZ_HAZ_PORTOFDISCHARGE,114,1)&lt;&gt;"",INDEX(OHZ_HAZ_DPGREF,114,1)&lt;&gt;"",INDEX(OHZ_HAZ_DGCLASSIFI,114,1)&lt;&gt;"",INDEX(OHZ_HAZ_TEXTUALREF,114,1)&lt;&gt;"",INDEX(OHZ_HAZ_IMOHAZARDC,114,1)&lt;&gt;"",INDEX(OHZ_HAZ_UNNUMBER,114,1)&lt;&gt;"",INDEX(OHZ_HAZ_TOTAMOUNT,114,1)&lt;&gt;"",INDEX(OHZ_HAZ_PACKINGGRO,114,1)&lt;&gt;"",INDEX(OHZ_HAZ_FLASHPOINT,114,1)&lt;&gt;"",INDEX(OHZ_HAZ_MARPOLCODE,114,1)&lt;&gt;"",INDEX(OHZ_HAZ_PACTYPE,114,1)&lt;&gt;"",INDEX(OHZ_HAZ_TOTALPACKA,114,1)&lt;&gt;"",INDEX(OHZ_HAZ_ADDITIONAL,114,1)&lt;&gt;"",INDEX(OHZ_HAZ_EMS,114,1)&lt;&gt;"",INDEX(OHZ_HAZ_SUBSIDIARY,114,1)&lt;&gt;"",INDEX(OHZ_HAZ_UNITTYPE,114,1)&lt;&gt;"",INDEX(OHZ_HAZ_TEUID,114,1)&lt;&gt;"",INDEX(OHZ_HAZ_LOCATION,114,1)&lt;&gt;"",INDEX(OHZ_HAZ_PACKAGES,114,1)&lt;&gt;"",INDEX(OHZ_HAZ_AMOUNT,114,1)&lt;&gt;"",),IF(OR(INDEX(OHZ_HAZ_DGCLASSIFI,114,1)="",INDEX(OHZ_HAZ_TEXTUALREF,114,1)="",INDEX(OHZ_HAZ_TOTAMOUNT,114,1)="",INDEX(OHZ_HAZ_DPGREF,114,1)="",INDEX(OHZ_HAZ_CONSIGNMENT,114,1)="",),FALSE,TRUE),TRUE)</f>
        <v>1</v>
      </c>
      <c r="K121" s="237" t="str">
        <f t="shared" si="4"/>
        <v>Row 114 - All mandatory fields must be given</v>
      </c>
      <c r="L121" s="236" t="s">
        <v>1853</v>
      </c>
      <c r="S121" s="52"/>
      <c r="T121" s="52" t="s">
        <v>2206</v>
      </c>
      <c r="V121" s="52"/>
    </row>
    <row r="122" spans="4:22" ht="39.6">
      <c r="D122" s="47" t="b">
        <f>IF(OR(ISBLANK(INDEX(WAS_ITE_DELIVERED,1,1)),AND(ISNUMBER(INDEX(WAS_ITE_DELIVERED,1,1)),LEN(INDEX(WAS_ITE_DELIVERED,1,1))-(IF(ISNUMBER(SEARCH(".",INDEX(WAS_ITE_DELIVERED,1,1))),SEARCH(".",INDEX(WAS_ITE_DELIVERED,1,1)),LEN(INDEX(WAS_ITE_DELIVERED,1,1))))&lt;=3,INDEX(WAS_ITE_DELIVERED,1,1)&lt;=9999999999999)),TRUE(),FALSE())</f>
        <v>1</v>
      </c>
      <c r="E122" s="329" t="s">
        <v>2422</v>
      </c>
      <c r="F122" s="236" t="s">
        <v>1853</v>
      </c>
      <c r="G122" s="250" t="b">
        <f>IF(OR(INDEX(IHZ_HAZ_CONSIGNMENT,115,1)&lt;&gt;"",INDEX(IHZ_HAZ_TRANSDOCID,115,1)&lt;&gt;"",INDEX(IHZ_HAZ_PORTOFLOADING,115,1)&lt;&gt;"",INDEX(IHZ_HAZ_PORTOFDISCHARGE,115,1)&lt;&gt;"",INDEX(IHZ_HAZ_DPGREF,115,1)&lt;&gt;"",INDEX(IHZ_HAZ_DGCLASSIFI,115,1)&lt;&gt;"",INDEX(IHZ_HAZ_TEXTUALREF,115,1)&lt;&gt;"",INDEX(IHZ_HAZ_IMOHAZARDC,115,1)&lt;&gt;"",INDEX(IHZ_HAZ_UNNUMBER,115,1)&lt;&gt;"",INDEX(IHZ_HAZ_TOTAMOUNT,115,1)&lt;&gt;"",INDEX(IHZ_HAZ_PACKINGGRO,115,1)&lt;&gt;"",INDEX(IHZ_HAZ_FLASHPOINT,115,1)&lt;&gt;"",INDEX(IHZ_HAZ_MARPOLCODE,115,1)&lt;&gt;"",INDEX(IHZ_HAZ_PACTYPE,115,1)&lt;&gt;"",INDEX(IHZ_HAZ_TOTALPACKA,115,1)&lt;&gt;"",INDEX(IHZ_HAZ_ADDITIONAL,115,1)&lt;&gt;"",INDEX(IHZ_HAZ_EMS,115,1)&lt;&gt;"",INDEX(IHZ_HAZ_SUBSIDIARY,115,1)&lt;&gt;"",INDEX(IHZ_HAZ_UNITTYPE,115,1)&lt;&gt;"",INDEX(IHZ_HAZ_TEUID,115,1)&lt;&gt;"",INDEX(IHZ_HAZ_LOCATION,115,1)&lt;&gt;"",INDEX(IHZ_HAZ_PACKAGES,115,1)&lt;&gt;"",INDEX(IHZ_HAZ_AMOUNT,115,1)&lt;&gt;"",),IF(OR(INDEX(IHZ_HAZ_DGCLASSIFI,115,1)="",INDEX(IHZ_HAZ_TEXTUALREF,115,1)="",INDEX(IHZ_HAZ_TOTAMOUNT,115,1)="",INDEX(IHZ_HAZ_DPGREF,115,1)="",INDEX(IHZ_HAZ_CONSIGNMENT,115,1)="",),FALSE,TRUE),TRUE)</f>
        <v>1</v>
      </c>
      <c r="H122" s="237" t="str">
        <f t="shared" si="3"/>
        <v>Row 115 - All mandatory fields must be given</v>
      </c>
      <c r="I122" s="236" t="s">
        <v>1853</v>
      </c>
      <c r="J122" s="52" t="b">
        <f>IF(OR(INDEX(OHZ_HAZ_CONSIGNMENT,115,1)&lt;&gt;"",INDEX(OHZ_HAZ_TRANSDOCID,115,1)&lt;&gt;"",INDEX(OHZ_HAZ_PORTOFLOADING,115,1)&lt;&gt;"",INDEX(OHZ_HAZ_PORTOFDISCHARGE,115,1)&lt;&gt;"",INDEX(OHZ_HAZ_DPGREF,115,1)&lt;&gt;"",INDEX(OHZ_HAZ_DGCLASSIFI,115,1)&lt;&gt;"",INDEX(OHZ_HAZ_TEXTUALREF,115,1)&lt;&gt;"",INDEX(OHZ_HAZ_IMOHAZARDC,115,1)&lt;&gt;"",INDEX(OHZ_HAZ_UNNUMBER,115,1)&lt;&gt;"",INDEX(OHZ_HAZ_TOTAMOUNT,115,1)&lt;&gt;"",INDEX(OHZ_HAZ_PACKINGGRO,115,1)&lt;&gt;"",INDEX(OHZ_HAZ_FLASHPOINT,115,1)&lt;&gt;"",INDEX(OHZ_HAZ_MARPOLCODE,115,1)&lt;&gt;"",INDEX(OHZ_HAZ_PACTYPE,115,1)&lt;&gt;"",INDEX(OHZ_HAZ_TOTALPACKA,115,1)&lt;&gt;"",INDEX(OHZ_HAZ_ADDITIONAL,115,1)&lt;&gt;"",INDEX(OHZ_HAZ_EMS,115,1)&lt;&gt;"",INDEX(OHZ_HAZ_SUBSIDIARY,115,1)&lt;&gt;"",INDEX(OHZ_HAZ_UNITTYPE,115,1)&lt;&gt;"",INDEX(OHZ_HAZ_TEUID,115,1)&lt;&gt;"",INDEX(OHZ_HAZ_LOCATION,115,1)&lt;&gt;"",INDEX(OHZ_HAZ_PACKAGES,115,1)&lt;&gt;"",INDEX(OHZ_HAZ_AMOUNT,115,1)&lt;&gt;"",),IF(OR(INDEX(OHZ_HAZ_DGCLASSIFI,115,1)="",INDEX(OHZ_HAZ_TEXTUALREF,115,1)="",INDEX(OHZ_HAZ_TOTAMOUNT,115,1)="",INDEX(OHZ_HAZ_DPGREF,115,1)="",INDEX(OHZ_HAZ_CONSIGNMENT,115,1)="",),FALSE,TRUE),TRUE)</f>
        <v>1</v>
      </c>
      <c r="K122" s="237" t="str">
        <f t="shared" si="4"/>
        <v>Row 115 - All mandatory fields must be given</v>
      </c>
      <c r="L122" s="236" t="s">
        <v>1853</v>
      </c>
      <c r="S122" s="52"/>
      <c r="T122" s="52" t="s">
        <v>2207</v>
      </c>
      <c r="V122" s="52"/>
    </row>
    <row r="123" spans="4:22">
      <c r="D123" s="313" t="b">
        <f>OR(INDEX(WAS_ITE_DELIVEREDU,1,1)="",COUNTIF(Units_description,INDEX(WAS_ITE_DELIVEREDU,1,1))=1)</f>
        <v>1</v>
      </c>
      <c r="E123" s="329" t="s">
        <v>2417</v>
      </c>
      <c r="F123" s="236" t="s">
        <v>1853</v>
      </c>
      <c r="G123" s="250" t="b">
        <f>IF(OR(INDEX(IHZ_HAZ_CONSIGNMENT,116,1)&lt;&gt;"",INDEX(IHZ_HAZ_TRANSDOCID,116,1)&lt;&gt;"",INDEX(IHZ_HAZ_PORTOFLOADING,116,1)&lt;&gt;"",INDEX(IHZ_HAZ_PORTOFDISCHARGE,116,1)&lt;&gt;"",INDEX(IHZ_HAZ_DPGREF,116,1)&lt;&gt;"",INDEX(IHZ_HAZ_DGCLASSIFI,116,1)&lt;&gt;"",INDEX(IHZ_HAZ_TEXTUALREF,116,1)&lt;&gt;"",INDEX(IHZ_HAZ_IMOHAZARDC,116,1)&lt;&gt;"",INDEX(IHZ_HAZ_UNNUMBER,116,1)&lt;&gt;"",INDEX(IHZ_HAZ_TOTAMOUNT,116,1)&lt;&gt;"",INDEX(IHZ_HAZ_PACKINGGRO,116,1)&lt;&gt;"",INDEX(IHZ_HAZ_FLASHPOINT,116,1)&lt;&gt;"",INDEX(IHZ_HAZ_MARPOLCODE,116,1)&lt;&gt;"",INDEX(IHZ_HAZ_PACTYPE,116,1)&lt;&gt;"",INDEX(IHZ_HAZ_TOTALPACKA,116,1)&lt;&gt;"",INDEX(IHZ_HAZ_ADDITIONAL,116,1)&lt;&gt;"",INDEX(IHZ_HAZ_EMS,116,1)&lt;&gt;"",INDEX(IHZ_HAZ_SUBSIDIARY,116,1)&lt;&gt;"",INDEX(IHZ_HAZ_UNITTYPE,116,1)&lt;&gt;"",INDEX(IHZ_HAZ_TEUID,116,1)&lt;&gt;"",INDEX(IHZ_HAZ_LOCATION,116,1)&lt;&gt;"",INDEX(IHZ_HAZ_PACKAGES,116,1)&lt;&gt;"",INDEX(IHZ_HAZ_AMOUNT,116,1)&lt;&gt;"",),IF(OR(INDEX(IHZ_HAZ_DGCLASSIFI,116,1)="",INDEX(IHZ_HAZ_TEXTUALREF,116,1)="",INDEX(IHZ_HAZ_TOTAMOUNT,116,1)="",INDEX(IHZ_HAZ_DPGREF,116,1)="",INDEX(IHZ_HAZ_CONSIGNMENT,116,1)="",),FALSE,TRUE),TRUE)</f>
        <v>1</v>
      </c>
      <c r="H123" s="237" t="str">
        <f t="shared" si="3"/>
        <v>Row 116 - All mandatory fields must be given</v>
      </c>
      <c r="I123" s="236" t="s">
        <v>1853</v>
      </c>
      <c r="J123" s="52" t="b">
        <f>IF(OR(INDEX(OHZ_HAZ_CONSIGNMENT,116,1)&lt;&gt;"",INDEX(OHZ_HAZ_TRANSDOCID,116,1)&lt;&gt;"",INDEX(OHZ_HAZ_PORTOFLOADING,116,1)&lt;&gt;"",INDEX(OHZ_HAZ_PORTOFDISCHARGE,116,1)&lt;&gt;"",INDEX(OHZ_HAZ_DPGREF,116,1)&lt;&gt;"",INDEX(OHZ_HAZ_DGCLASSIFI,116,1)&lt;&gt;"",INDEX(OHZ_HAZ_TEXTUALREF,116,1)&lt;&gt;"",INDEX(OHZ_HAZ_IMOHAZARDC,116,1)&lt;&gt;"",INDEX(OHZ_HAZ_UNNUMBER,116,1)&lt;&gt;"",INDEX(OHZ_HAZ_TOTAMOUNT,116,1)&lt;&gt;"",INDEX(OHZ_HAZ_PACKINGGRO,116,1)&lt;&gt;"",INDEX(OHZ_HAZ_FLASHPOINT,116,1)&lt;&gt;"",INDEX(OHZ_HAZ_MARPOLCODE,116,1)&lt;&gt;"",INDEX(OHZ_HAZ_PACTYPE,116,1)&lt;&gt;"",INDEX(OHZ_HAZ_TOTALPACKA,116,1)&lt;&gt;"",INDEX(OHZ_HAZ_ADDITIONAL,116,1)&lt;&gt;"",INDEX(OHZ_HAZ_EMS,116,1)&lt;&gt;"",INDEX(OHZ_HAZ_SUBSIDIARY,116,1)&lt;&gt;"",INDEX(OHZ_HAZ_UNITTYPE,116,1)&lt;&gt;"",INDEX(OHZ_HAZ_TEUID,116,1)&lt;&gt;"",INDEX(OHZ_HAZ_LOCATION,116,1)&lt;&gt;"",INDEX(OHZ_HAZ_PACKAGES,116,1)&lt;&gt;"",INDEX(OHZ_HAZ_AMOUNT,116,1)&lt;&gt;"",),IF(OR(INDEX(OHZ_HAZ_DGCLASSIFI,116,1)="",INDEX(OHZ_HAZ_TEXTUALREF,116,1)="",INDEX(OHZ_HAZ_TOTAMOUNT,116,1)="",INDEX(OHZ_HAZ_DPGREF,116,1)="",INDEX(OHZ_HAZ_CONSIGNMENT,116,1)="",),FALSE,TRUE),TRUE)</f>
        <v>1</v>
      </c>
      <c r="K123" s="237" t="str">
        <f t="shared" si="4"/>
        <v>Row 116 - All mandatory fields must be given</v>
      </c>
      <c r="L123" s="236" t="s">
        <v>1853</v>
      </c>
      <c r="S123" s="52"/>
      <c r="T123" s="52" t="s">
        <v>2208</v>
      </c>
      <c r="V123" s="52"/>
    </row>
    <row r="124" spans="4:22" ht="26.4">
      <c r="D124" s="47" t="b">
        <f>IF(OR(ISBLANK(INDEX(WAS_ITE_MAXSTORAG,1,1)),AND(ISNUMBER(INDEX(WAS_ITE_MAXSTORAG,1,1)),LEN(INDEX(WAS_ITE_MAXSTORAG,1,1))-(IF(ISNUMBER(SEARCH(".",INDEX(WAS_ITE_MAXSTORAG,1,1))),SEARCH(".",INDEX(WAS_ITE_MAXSTORAG,1,1)),LEN(INDEX(WAS_ITE_MAXSTORAG,1,1))))&lt;=3,INDEX(WAS_ITE_MAXSTORAG,1,1)&lt;=9999999999999)),TRUE(),FALSE())</f>
        <v>1</v>
      </c>
      <c r="E124" s="330" t="s">
        <v>2421</v>
      </c>
      <c r="F124" s="236" t="s">
        <v>1853</v>
      </c>
      <c r="G124" s="250" t="b">
        <f>IF(OR(INDEX(IHZ_HAZ_CONSIGNMENT,117,1)&lt;&gt;"",INDEX(IHZ_HAZ_TRANSDOCID,117,1)&lt;&gt;"",INDEX(IHZ_HAZ_PORTOFLOADING,117,1)&lt;&gt;"",INDEX(IHZ_HAZ_PORTOFDISCHARGE,117,1)&lt;&gt;"",INDEX(IHZ_HAZ_DPGREF,117,1)&lt;&gt;"",INDEX(IHZ_HAZ_DGCLASSIFI,117,1)&lt;&gt;"",INDEX(IHZ_HAZ_TEXTUALREF,117,1)&lt;&gt;"",INDEX(IHZ_HAZ_IMOHAZARDC,117,1)&lt;&gt;"",INDEX(IHZ_HAZ_UNNUMBER,117,1)&lt;&gt;"",INDEX(IHZ_HAZ_TOTAMOUNT,117,1)&lt;&gt;"",INDEX(IHZ_HAZ_PACKINGGRO,117,1)&lt;&gt;"",INDEX(IHZ_HAZ_FLASHPOINT,117,1)&lt;&gt;"",INDEX(IHZ_HAZ_MARPOLCODE,117,1)&lt;&gt;"",INDEX(IHZ_HAZ_PACTYPE,117,1)&lt;&gt;"",INDEX(IHZ_HAZ_TOTALPACKA,117,1)&lt;&gt;"",INDEX(IHZ_HAZ_ADDITIONAL,117,1)&lt;&gt;"",INDEX(IHZ_HAZ_EMS,117,1)&lt;&gt;"",INDEX(IHZ_HAZ_SUBSIDIARY,117,1)&lt;&gt;"",INDEX(IHZ_HAZ_UNITTYPE,117,1)&lt;&gt;"",INDEX(IHZ_HAZ_TEUID,117,1)&lt;&gt;"",INDEX(IHZ_HAZ_LOCATION,117,1)&lt;&gt;"",INDEX(IHZ_HAZ_PACKAGES,117,1)&lt;&gt;"",INDEX(IHZ_HAZ_AMOUNT,117,1)&lt;&gt;"",),IF(OR(INDEX(IHZ_HAZ_DGCLASSIFI,117,1)="",INDEX(IHZ_HAZ_TEXTUALREF,117,1)="",INDEX(IHZ_HAZ_TOTAMOUNT,117,1)="",INDEX(IHZ_HAZ_DPGREF,117,1)="",INDEX(IHZ_HAZ_CONSIGNMENT,117,1)="",),FALSE,TRUE),TRUE)</f>
        <v>1</v>
      </c>
      <c r="H124" s="237" t="str">
        <f t="shared" si="3"/>
        <v>Row 117 - All mandatory fields must be given</v>
      </c>
      <c r="I124" s="236" t="s">
        <v>1853</v>
      </c>
      <c r="J124" s="52" t="b">
        <f>IF(OR(INDEX(OHZ_HAZ_CONSIGNMENT,117,1)&lt;&gt;"",INDEX(OHZ_HAZ_TRANSDOCID,117,1)&lt;&gt;"",INDEX(OHZ_HAZ_PORTOFLOADING,117,1)&lt;&gt;"",INDEX(OHZ_HAZ_PORTOFDISCHARGE,117,1)&lt;&gt;"",INDEX(OHZ_HAZ_DPGREF,117,1)&lt;&gt;"",INDEX(OHZ_HAZ_DGCLASSIFI,117,1)&lt;&gt;"",INDEX(OHZ_HAZ_TEXTUALREF,117,1)&lt;&gt;"",INDEX(OHZ_HAZ_IMOHAZARDC,117,1)&lt;&gt;"",INDEX(OHZ_HAZ_UNNUMBER,117,1)&lt;&gt;"",INDEX(OHZ_HAZ_TOTAMOUNT,117,1)&lt;&gt;"",INDEX(OHZ_HAZ_PACKINGGRO,117,1)&lt;&gt;"",INDEX(OHZ_HAZ_FLASHPOINT,117,1)&lt;&gt;"",INDEX(OHZ_HAZ_MARPOLCODE,117,1)&lt;&gt;"",INDEX(OHZ_HAZ_PACTYPE,117,1)&lt;&gt;"",INDEX(OHZ_HAZ_TOTALPACKA,117,1)&lt;&gt;"",INDEX(OHZ_HAZ_ADDITIONAL,117,1)&lt;&gt;"",INDEX(OHZ_HAZ_EMS,117,1)&lt;&gt;"",INDEX(OHZ_HAZ_SUBSIDIARY,117,1)&lt;&gt;"",INDEX(OHZ_HAZ_UNITTYPE,117,1)&lt;&gt;"",INDEX(OHZ_HAZ_TEUID,117,1)&lt;&gt;"",INDEX(OHZ_HAZ_LOCATION,117,1)&lt;&gt;"",INDEX(OHZ_HAZ_PACKAGES,117,1)&lt;&gt;"",INDEX(OHZ_HAZ_AMOUNT,117,1)&lt;&gt;"",),IF(OR(INDEX(OHZ_HAZ_DGCLASSIFI,117,1)="",INDEX(OHZ_HAZ_TEXTUALREF,117,1)="",INDEX(OHZ_HAZ_TOTAMOUNT,117,1)="",INDEX(OHZ_HAZ_DPGREF,117,1)="",INDEX(OHZ_HAZ_CONSIGNMENT,117,1)="",),FALSE,TRUE),TRUE)</f>
        <v>1</v>
      </c>
      <c r="K124" s="237" t="str">
        <f t="shared" si="4"/>
        <v>Row 117 - All mandatory fields must be given</v>
      </c>
      <c r="L124" s="236" t="s">
        <v>1853</v>
      </c>
      <c r="S124" s="52"/>
      <c r="T124" s="52" t="s">
        <v>2209</v>
      </c>
      <c r="V124" s="52"/>
    </row>
    <row r="125" spans="4:22">
      <c r="D125" s="313" t="b">
        <f>OR(INDEX(WAS_ITE_MAXSTORAGU,1,1)="",COUNTIF(Units_description,INDEX(WAS_ITE_MAXSTORAGU,1,1))=1)</f>
        <v>1</v>
      </c>
      <c r="E125" s="329" t="s">
        <v>2417</v>
      </c>
      <c r="F125" s="236" t="s">
        <v>1853</v>
      </c>
      <c r="G125" s="250" t="b">
        <f>IF(OR(INDEX(IHZ_HAZ_CONSIGNMENT,118,1)&lt;&gt;"",INDEX(IHZ_HAZ_TRANSDOCID,118,1)&lt;&gt;"",INDEX(IHZ_HAZ_PORTOFLOADING,118,1)&lt;&gt;"",INDEX(IHZ_HAZ_PORTOFDISCHARGE,118,1)&lt;&gt;"",INDEX(IHZ_HAZ_DPGREF,118,1)&lt;&gt;"",INDEX(IHZ_HAZ_DGCLASSIFI,118,1)&lt;&gt;"",INDEX(IHZ_HAZ_TEXTUALREF,118,1)&lt;&gt;"",INDEX(IHZ_HAZ_IMOHAZARDC,118,1)&lt;&gt;"",INDEX(IHZ_HAZ_UNNUMBER,118,1)&lt;&gt;"",INDEX(IHZ_HAZ_TOTAMOUNT,118,1)&lt;&gt;"",INDEX(IHZ_HAZ_PACKINGGRO,118,1)&lt;&gt;"",INDEX(IHZ_HAZ_FLASHPOINT,118,1)&lt;&gt;"",INDEX(IHZ_HAZ_MARPOLCODE,118,1)&lt;&gt;"",INDEX(IHZ_HAZ_PACTYPE,118,1)&lt;&gt;"",INDEX(IHZ_HAZ_TOTALPACKA,118,1)&lt;&gt;"",INDEX(IHZ_HAZ_ADDITIONAL,118,1)&lt;&gt;"",INDEX(IHZ_HAZ_EMS,118,1)&lt;&gt;"",INDEX(IHZ_HAZ_SUBSIDIARY,118,1)&lt;&gt;"",INDEX(IHZ_HAZ_UNITTYPE,118,1)&lt;&gt;"",INDEX(IHZ_HAZ_TEUID,118,1)&lt;&gt;"",INDEX(IHZ_HAZ_LOCATION,118,1)&lt;&gt;"",INDEX(IHZ_HAZ_PACKAGES,118,1)&lt;&gt;"",INDEX(IHZ_HAZ_AMOUNT,118,1)&lt;&gt;"",),IF(OR(INDEX(IHZ_HAZ_DGCLASSIFI,118,1)="",INDEX(IHZ_HAZ_TEXTUALREF,118,1)="",INDEX(IHZ_HAZ_TOTAMOUNT,118,1)="",INDEX(IHZ_HAZ_DPGREF,118,1)="",INDEX(IHZ_HAZ_CONSIGNMENT,118,1)="",),FALSE,TRUE),TRUE)</f>
        <v>1</v>
      </c>
      <c r="H125" s="237" t="str">
        <f t="shared" si="3"/>
        <v>Row 118 - All mandatory fields must be given</v>
      </c>
      <c r="I125" s="236" t="s">
        <v>1853</v>
      </c>
      <c r="J125" s="52" t="b">
        <f>IF(OR(INDEX(OHZ_HAZ_CONSIGNMENT,118,1)&lt;&gt;"",INDEX(OHZ_HAZ_TRANSDOCID,118,1)&lt;&gt;"",INDEX(OHZ_HAZ_PORTOFLOADING,118,1)&lt;&gt;"",INDEX(OHZ_HAZ_PORTOFDISCHARGE,118,1)&lt;&gt;"",INDEX(OHZ_HAZ_DPGREF,118,1)&lt;&gt;"",INDEX(OHZ_HAZ_DGCLASSIFI,118,1)&lt;&gt;"",INDEX(OHZ_HAZ_TEXTUALREF,118,1)&lt;&gt;"",INDEX(OHZ_HAZ_IMOHAZARDC,118,1)&lt;&gt;"",INDEX(OHZ_HAZ_UNNUMBER,118,1)&lt;&gt;"",INDEX(OHZ_HAZ_TOTAMOUNT,118,1)&lt;&gt;"",INDEX(OHZ_HAZ_PACKINGGRO,118,1)&lt;&gt;"",INDEX(OHZ_HAZ_FLASHPOINT,118,1)&lt;&gt;"",INDEX(OHZ_HAZ_MARPOLCODE,118,1)&lt;&gt;"",INDEX(OHZ_HAZ_PACTYPE,118,1)&lt;&gt;"",INDEX(OHZ_HAZ_TOTALPACKA,118,1)&lt;&gt;"",INDEX(OHZ_HAZ_ADDITIONAL,118,1)&lt;&gt;"",INDEX(OHZ_HAZ_EMS,118,1)&lt;&gt;"",INDEX(OHZ_HAZ_SUBSIDIARY,118,1)&lt;&gt;"",INDEX(OHZ_HAZ_UNITTYPE,118,1)&lt;&gt;"",INDEX(OHZ_HAZ_TEUID,118,1)&lt;&gt;"",INDEX(OHZ_HAZ_LOCATION,118,1)&lt;&gt;"",INDEX(OHZ_HAZ_PACKAGES,118,1)&lt;&gt;"",INDEX(OHZ_HAZ_AMOUNT,118,1)&lt;&gt;"",),IF(OR(INDEX(OHZ_HAZ_DGCLASSIFI,118,1)="",INDEX(OHZ_HAZ_TEXTUALREF,118,1)="",INDEX(OHZ_HAZ_TOTAMOUNT,118,1)="",INDEX(OHZ_HAZ_DPGREF,118,1)="",INDEX(OHZ_HAZ_CONSIGNMENT,118,1)="",),FALSE,TRUE),TRUE)</f>
        <v>1</v>
      </c>
      <c r="K125" s="237" t="str">
        <f t="shared" si="4"/>
        <v>Row 118 - All mandatory fields must be given</v>
      </c>
      <c r="L125" s="236" t="s">
        <v>1853</v>
      </c>
      <c r="S125" s="52"/>
      <c r="T125" s="52" t="s">
        <v>2210</v>
      </c>
      <c r="V125" s="52"/>
    </row>
    <row r="126" spans="4:22" ht="26.4">
      <c r="D126" s="47" t="b">
        <f>IF(OR(ISBLANK(INDEX(WAS_ITE_RETAINED,1,1)),AND(ISNUMBER(INDEX(WAS_ITE_RETAINED,1,1)),LEN(INDEX(WAS_ITE_RETAINED,1,1))-(IF(ISNUMBER(SEARCH(".",INDEX(WAS_ITE_RETAINED,1,1))),SEARCH(".",INDEX(WAS_ITE_RETAINED,1,1)),LEN(INDEX(WAS_ITE_RETAINED,1,1))))&lt;=3,INDEX(WAS_ITE_RETAINED,1,1)&lt;=9999999999999)),TRUE(),FALSE())</f>
        <v>1</v>
      </c>
      <c r="E126" s="331" t="s">
        <v>2420</v>
      </c>
      <c r="F126" s="236" t="s">
        <v>1853</v>
      </c>
      <c r="G126" s="250" t="b">
        <f>IF(OR(INDEX(IHZ_HAZ_CONSIGNMENT,119,1)&lt;&gt;"",INDEX(IHZ_HAZ_TRANSDOCID,119,1)&lt;&gt;"",INDEX(IHZ_HAZ_PORTOFLOADING,119,1)&lt;&gt;"",INDEX(IHZ_HAZ_PORTOFDISCHARGE,119,1)&lt;&gt;"",INDEX(IHZ_HAZ_DPGREF,119,1)&lt;&gt;"",INDEX(IHZ_HAZ_DGCLASSIFI,119,1)&lt;&gt;"",INDEX(IHZ_HAZ_TEXTUALREF,119,1)&lt;&gt;"",INDEX(IHZ_HAZ_IMOHAZARDC,119,1)&lt;&gt;"",INDEX(IHZ_HAZ_UNNUMBER,119,1)&lt;&gt;"",INDEX(IHZ_HAZ_TOTAMOUNT,119,1)&lt;&gt;"",INDEX(IHZ_HAZ_PACKINGGRO,119,1)&lt;&gt;"",INDEX(IHZ_HAZ_FLASHPOINT,119,1)&lt;&gt;"",INDEX(IHZ_HAZ_MARPOLCODE,119,1)&lt;&gt;"",INDEX(IHZ_HAZ_PACTYPE,119,1)&lt;&gt;"",INDEX(IHZ_HAZ_TOTALPACKA,119,1)&lt;&gt;"",INDEX(IHZ_HAZ_ADDITIONAL,119,1)&lt;&gt;"",INDEX(IHZ_HAZ_EMS,119,1)&lt;&gt;"",INDEX(IHZ_HAZ_SUBSIDIARY,119,1)&lt;&gt;"",INDEX(IHZ_HAZ_UNITTYPE,119,1)&lt;&gt;"",INDEX(IHZ_HAZ_TEUID,119,1)&lt;&gt;"",INDEX(IHZ_HAZ_LOCATION,119,1)&lt;&gt;"",INDEX(IHZ_HAZ_PACKAGES,119,1)&lt;&gt;"",INDEX(IHZ_HAZ_AMOUNT,119,1)&lt;&gt;"",),IF(OR(INDEX(IHZ_HAZ_DGCLASSIFI,119,1)="",INDEX(IHZ_HAZ_TEXTUALREF,119,1)="",INDEX(IHZ_HAZ_TOTAMOUNT,119,1)="",INDEX(IHZ_HAZ_DPGREF,119,1)="",INDEX(IHZ_HAZ_CONSIGNMENT,119,1)="",),FALSE,TRUE),TRUE)</f>
        <v>1</v>
      </c>
      <c r="H126" s="237" t="str">
        <f t="shared" si="3"/>
        <v>Row 119 - All mandatory fields must be given</v>
      </c>
      <c r="I126" s="236" t="s">
        <v>1853</v>
      </c>
      <c r="J126" s="52" t="b">
        <f>IF(OR(INDEX(OHZ_HAZ_CONSIGNMENT,119,1)&lt;&gt;"",INDEX(OHZ_HAZ_TRANSDOCID,119,1)&lt;&gt;"",INDEX(OHZ_HAZ_PORTOFLOADING,119,1)&lt;&gt;"",INDEX(OHZ_HAZ_PORTOFDISCHARGE,119,1)&lt;&gt;"",INDEX(OHZ_HAZ_DPGREF,119,1)&lt;&gt;"",INDEX(OHZ_HAZ_DGCLASSIFI,119,1)&lt;&gt;"",INDEX(OHZ_HAZ_TEXTUALREF,119,1)&lt;&gt;"",INDEX(OHZ_HAZ_IMOHAZARDC,119,1)&lt;&gt;"",INDEX(OHZ_HAZ_UNNUMBER,119,1)&lt;&gt;"",INDEX(OHZ_HAZ_TOTAMOUNT,119,1)&lt;&gt;"",INDEX(OHZ_HAZ_PACKINGGRO,119,1)&lt;&gt;"",INDEX(OHZ_HAZ_FLASHPOINT,119,1)&lt;&gt;"",INDEX(OHZ_HAZ_MARPOLCODE,119,1)&lt;&gt;"",INDEX(OHZ_HAZ_PACTYPE,119,1)&lt;&gt;"",INDEX(OHZ_HAZ_TOTALPACKA,119,1)&lt;&gt;"",INDEX(OHZ_HAZ_ADDITIONAL,119,1)&lt;&gt;"",INDEX(OHZ_HAZ_EMS,119,1)&lt;&gt;"",INDEX(OHZ_HAZ_SUBSIDIARY,119,1)&lt;&gt;"",INDEX(OHZ_HAZ_UNITTYPE,119,1)&lt;&gt;"",INDEX(OHZ_HAZ_TEUID,119,1)&lt;&gt;"",INDEX(OHZ_HAZ_LOCATION,119,1)&lt;&gt;"",INDEX(OHZ_HAZ_PACKAGES,119,1)&lt;&gt;"",INDEX(OHZ_HAZ_AMOUNT,119,1)&lt;&gt;"",),IF(OR(INDEX(OHZ_HAZ_DGCLASSIFI,119,1)="",INDEX(OHZ_HAZ_TEXTUALREF,119,1)="",INDEX(OHZ_HAZ_TOTAMOUNT,119,1)="",INDEX(OHZ_HAZ_DPGREF,119,1)="",INDEX(OHZ_HAZ_CONSIGNMENT,119,1)="",),FALSE,TRUE),TRUE)</f>
        <v>1</v>
      </c>
      <c r="K126" s="237" t="str">
        <f t="shared" si="4"/>
        <v>Row 119 - All mandatory fields must be given</v>
      </c>
      <c r="L126" s="236" t="s">
        <v>1853</v>
      </c>
      <c r="S126" s="52"/>
      <c r="T126" s="52" t="s">
        <v>2211</v>
      </c>
      <c r="V126" s="52"/>
    </row>
    <row r="127" spans="4:22">
      <c r="D127" s="313" t="b">
        <f>OR(INDEX(WAS_ITE_RETAINEDU,1,1)="",COUNTIF(Units_description,INDEX(WAS_ITE_RETAINEDU,1,1))=1)</f>
        <v>1</v>
      </c>
      <c r="E127" s="329" t="s">
        <v>2417</v>
      </c>
      <c r="F127" s="236" t="s">
        <v>1853</v>
      </c>
      <c r="G127" s="250" t="b">
        <f>IF(OR(INDEX(IHZ_HAZ_CONSIGNMENT,120,1)&lt;&gt;"",INDEX(IHZ_HAZ_TRANSDOCID,120,1)&lt;&gt;"",INDEX(IHZ_HAZ_PORTOFLOADING,120,1)&lt;&gt;"",INDEX(IHZ_HAZ_PORTOFDISCHARGE,120,1)&lt;&gt;"",INDEX(IHZ_HAZ_DPGREF,120,1)&lt;&gt;"",INDEX(IHZ_HAZ_DGCLASSIFI,120,1)&lt;&gt;"",INDEX(IHZ_HAZ_TEXTUALREF,120,1)&lt;&gt;"",INDEX(IHZ_HAZ_IMOHAZARDC,120,1)&lt;&gt;"",INDEX(IHZ_HAZ_UNNUMBER,120,1)&lt;&gt;"",INDEX(IHZ_HAZ_TOTAMOUNT,120,1)&lt;&gt;"",INDEX(IHZ_HAZ_PACKINGGRO,120,1)&lt;&gt;"",INDEX(IHZ_HAZ_FLASHPOINT,120,1)&lt;&gt;"",INDEX(IHZ_HAZ_MARPOLCODE,120,1)&lt;&gt;"",INDEX(IHZ_HAZ_PACTYPE,120,1)&lt;&gt;"",INDEX(IHZ_HAZ_TOTALPACKA,120,1)&lt;&gt;"",INDEX(IHZ_HAZ_ADDITIONAL,120,1)&lt;&gt;"",INDEX(IHZ_HAZ_EMS,120,1)&lt;&gt;"",INDEX(IHZ_HAZ_SUBSIDIARY,120,1)&lt;&gt;"",INDEX(IHZ_HAZ_UNITTYPE,120,1)&lt;&gt;"",INDEX(IHZ_HAZ_TEUID,120,1)&lt;&gt;"",INDEX(IHZ_HAZ_LOCATION,120,1)&lt;&gt;"",INDEX(IHZ_HAZ_PACKAGES,120,1)&lt;&gt;"",INDEX(IHZ_HAZ_AMOUNT,120,1)&lt;&gt;"",),IF(OR(INDEX(IHZ_HAZ_DGCLASSIFI,120,1)="",INDEX(IHZ_HAZ_TEXTUALREF,120,1)="",INDEX(IHZ_HAZ_TOTAMOUNT,120,1)="",INDEX(IHZ_HAZ_DPGREF,120,1)="",INDEX(IHZ_HAZ_CONSIGNMENT,120,1)="",),FALSE,TRUE),TRUE)</f>
        <v>1</v>
      </c>
      <c r="H127" s="237" t="str">
        <f t="shared" si="3"/>
        <v>Row 120 - All mandatory fields must be given</v>
      </c>
      <c r="I127" s="236" t="s">
        <v>1853</v>
      </c>
      <c r="J127" s="52" t="b">
        <f>IF(OR(INDEX(OHZ_HAZ_CONSIGNMENT,120,1)&lt;&gt;"",INDEX(OHZ_HAZ_TRANSDOCID,120,1)&lt;&gt;"",INDEX(OHZ_HAZ_PORTOFLOADING,120,1)&lt;&gt;"",INDEX(OHZ_HAZ_PORTOFDISCHARGE,120,1)&lt;&gt;"",INDEX(OHZ_HAZ_DPGREF,120,1)&lt;&gt;"",INDEX(OHZ_HAZ_DGCLASSIFI,120,1)&lt;&gt;"",INDEX(OHZ_HAZ_TEXTUALREF,120,1)&lt;&gt;"",INDEX(OHZ_HAZ_IMOHAZARDC,120,1)&lt;&gt;"",INDEX(OHZ_HAZ_UNNUMBER,120,1)&lt;&gt;"",INDEX(OHZ_HAZ_TOTAMOUNT,120,1)&lt;&gt;"",INDEX(OHZ_HAZ_PACKINGGRO,120,1)&lt;&gt;"",INDEX(OHZ_HAZ_FLASHPOINT,120,1)&lt;&gt;"",INDEX(OHZ_HAZ_MARPOLCODE,120,1)&lt;&gt;"",INDEX(OHZ_HAZ_PACTYPE,120,1)&lt;&gt;"",INDEX(OHZ_HAZ_TOTALPACKA,120,1)&lt;&gt;"",INDEX(OHZ_HAZ_ADDITIONAL,120,1)&lt;&gt;"",INDEX(OHZ_HAZ_EMS,120,1)&lt;&gt;"",INDEX(OHZ_HAZ_SUBSIDIARY,120,1)&lt;&gt;"",INDEX(OHZ_HAZ_UNITTYPE,120,1)&lt;&gt;"",INDEX(OHZ_HAZ_TEUID,120,1)&lt;&gt;"",INDEX(OHZ_HAZ_LOCATION,120,1)&lt;&gt;"",INDEX(OHZ_HAZ_PACKAGES,120,1)&lt;&gt;"",INDEX(OHZ_HAZ_AMOUNT,120,1)&lt;&gt;"",),IF(OR(INDEX(OHZ_HAZ_DGCLASSIFI,120,1)="",INDEX(OHZ_HAZ_TEXTUALREF,120,1)="",INDEX(OHZ_HAZ_TOTAMOUNT,120,1)="",INDEX(OHZ_HAZ_DPGREF,120,1)="",INDEX(OHZ_HAZ_CONSIGNMENT,120,1)="",),FALSE,TRUE),TRUE)</f>
        <v>1</v>
      </c>
      <c r="K127" s="237" t="str">
        <f t="shared" si="4"/>
        <v>Row 120 - All mandatory fields must be given</v>
      </c>
      <c r="L127" s="236" t="s">
        <v>1853</v>
      </c>
      <c r="S127" s="52"/>
      <c r="T127" s="52" t="s">
        <v>2212</v>
      </c>
      <c r="V127" s="52"/>
    </row>
    <row r="128" spans="4:22" ht="26.4">
      <c r="D128" s="313" t="e">
        <f>OR(INDEX(WAS_ITE_REMAINING,1,1)="",COUNTIF(LOCODE,INDEX(WAS_ITE_REMAINING,1,1))=1)</f>
        <v>#NAME?</v>
      </c>
      <c r="E128" s="332" t="s">
        <v>2419</v>
      </c>
      <c r="F128" s="236" t="s">
        <v>1853</v>
      </c>
      <c r="G128" s="250" t="b">
        <f>IF(OR(INDEX(IHZ_HAZ_CONSIGNMENT,121,1)&lt;&gt;"",INDEX(IHZ_HAZ_TRANSDOCID,121,1)&lt;&gt;"",INDEX(IHZ_HAZ_PORTOFLOADING,121,1)&lt;&gt;"",INDEX(IHZ_HAZ_PORTOFDISCHARGE,121,1)&lt;&gt;"",INDEX(IHZ_HAZ_DPGREF,121,1)&lt;&gt;"",INDEX(IHZ_HAZ_DGCLASSIFI,121,1)&lt;&gt;"",INDEX(IHZ_HAZ_TEXTUALREF,121,1)&lt;&gt;"",INDEX(IHZ_HAZ_IMOHAZARDC,121,1)&lt;&gt;"",INDEX(IHZ_HAZ_UNNUMBER,121,1)&lt;&gt;"",INDEX(IHZ_HAZ_TOTAMOUNT,121,1)&lt;&gt;"",INDEX(IHZ_HAZ_PACKINGGRO,121,1)&lt;&gt;"",INDEX(IHZ_HAZ_FLASHPOINT,121,1)&lt;&gt;"",INDEX(IHZ_HAZ_MARPOLCODE,121,1)&lt;&gt;"",INDEX(IHZ_HAZ_PACTYPE,121,1)&lt;&gt;"",INDEX(IHZ_HAZ_TOTALPACKA,121,1)&lt;&gt;"",INDEX(IHZ_HAZ_ADDITIONAL,121,1)&lt;&gt;"",INDEX(IHZ_HAZ_EMS,121,1)&lt;&gt;"",INDEX(IHZ_HAZ_SUBSIDIARY,121,1)&lt;&gt;"",INDEX(IHZ_HAZ_UNITTYPE,121,1)&lt;&gt;"",INDEX(IHZ_HAZ_TEUID,121,1)&lt;&gt;"",INDEX(IHZ_HAZ_LOCATION,121,1)&lt;&gt;"",INDEX(IHZ_HAZ_PACKAGES,121,1)&lt;&gt;"",INDEX(IHZ_HAZ_AMOUNT,121,1)&lt;&gt;"",),IF(OR(INDEX(IHZ_HAZ_DGCLASSIFI,121,1)="",INDEX(IHZ_HAZ_TEXTUALREF,121,1)="",INDEX(IHZ_HAZ_TOTAMOUNT,121,1)="",INDEX(IHZ_HAZ_DPGREF,121,1)="",INDEX(IHZ_HAZ_CONSIGNMENT,121,1)="",),FALSE,TRUE),TRUE)</f>
        <v>1</v>
      </c>
      <c r="H128" s="237" t="str">
        <f t="shared" si="3"/>
        <v>Row 121 - All mandatory fields must be given</v>
      </c>
      <c r="I128" s="236" t="s">
        <v>1853</v>
      </c>
      <c r="J128" s="52" t="b">
        <f>IF(OR(INDEX(OHZ_HAZ_CONSIGNMENT,121,1)&lt;&gt;"",INDEX(OHZ_HAZ_TRANSDOCID,121,1)&lt;&gt;"",INDEX(OHZ_HAZ_PORTOFLOADING,121,1)&lt;&gt;"",INDEX(OHZ_HAZ_PORTOFDISCHARGE,121,1)&lt;&gt;"",INDEX(OHZ_HAZ_DPGREF,121,1)&lt;&gt;"",INDEX(OHZ_HAZ_DGCLASSIFI,121,1)&lt;&gt;"",INDEX(OHZ_HAZ_TEXTUALREF,121,1)&lt;&gt;"",INDEX(OHZ_HAZ_IMOHAZARDC,121,1)&lt;&gt;"",INDEX(OHZ_HAZ_UNNUMBER,121,1)&lt;&gt;"",INDEX(OHZ_HAZ_TOTAMOUNT,121,1)&lt;&gt;"",INDEX(OHZ_HAZ_PACKINGGRO,121,1)&lt;&gt;"",INDEX(OHZ_HAZ_FLASHPOINT,121,1)&lt;&gt;"",INDEX(OHZ_HAZ_MARPOLCODE,121,1)&lt;&gt;"",INDEX(OHZ_HAZ_PACTYPE,121,1)&lt;&gt;"",INDEX(OHZ_HAZ_TOTALPACKA,121,1)&lt;&gt;"",INDEX(OHZ_HAZ_ADDITIONAL,121,1)&lt;&gt;"",INDEX(OHZ_HAZ_EMS,121,1)&lt;&gt;"",INDEX(OHZ_HAZ_SUBSIDIARY,121,1)&lt;&gt;"",INDEX(OHZ_HAZ_UNITTYPE,121,1)&lt;&gt;"",INDEX(OHZ_HAZ_TEUID,121,1)&lt;&gt;"",INDEX(OHZ_HAZ_LOCATION,121,1)&lt;&gt;"",INDEX(OHZ_HAZ_PACKAGES,121,1)&lt;&gt;"",INDEX(OHZ_HAZ_AMOUNT,121,1)&lt;&gt;"",),IF(OR(INDEX(OHZ_HAZ_DGCLASSIFI,121,1)="",INDEX(OHZ_HAZ_TEXTUALREF,121,1)="",INDEX(OHZ_HAZ_TOTAMOUNT,121,1)="",INDEX(OHZ_HAZ_DPGREF,121,1)="",INDEX(OHZ_HAZ_CONSIGNMENT,121,1)="",),FALSE,TRUE),TRUE)</f>
        <v>1</v>
      </c>
      <c r="K128" s="237" t="str">
        <f t="shared" si="4"/>
        <v>Row 121 - All mandatory fields must be given</v>
      </c>
      <c r="L128" s="236" t="s">
        <v>1853</v>
      </c>
      <c r="S128" s="52"/>
      <c r="T128" s="52" t="s">
        <v>2213</v>
      </c>
      <c r="V128" s="52"/>
    </row>
    <row r="129" spans="4:22" ht="39.6">
      <c r="D129" s="47" t="b">
        <f>IF(OR(ISBLANK(INDEX(WAS_ITE_GENERATED,1,1)),AND(ISNUMBER(INDEX(WAS_ITE_GENERATED,1,1)),LEN(INDEX(WAS_ITE_GENERATED,1,1))-(IF(ISNUMBER(SEARCH(".",INDEX(WAS_ITE_GENERATED,1,1))),SEARCH(".",INDEX(WAS_ITE_GENERATED,1,1)),LEN(INDEX(WAS_ITE_GENERATED,1,1))))&lt;=3,INDEX(WAS_ITE_GENERATED,1,1)&lt;=9999999999999)),TRUE(),FALSE())</f>
        <v>1</v>
      </c>
      <c r="E129" s="329" t="s">
        <v>2418</v>
      </c>
      <c r="F129" s="236" t="s">
        <v>1853</v>
      </c>
      <c r="G129" s="250" t="b">
        <f>IF(OR(INDEX(IHZ_HAZ_CONSIGNMENT,122,1)&lt;&gt;"",INDEX(IHZ_HAZ_TRANSDOCID,122,1)&lt;&gt;"",INDEX(IHZ_HAZ_PORTOFLOADING,122,1)&lt;&gt;"",INDEX(IHZ_HAZ_PORTOFDISCHARGE,122,1)&lt;&gt;"",INDEX(IHZ_HAZ_DPGREF,122,1)&lt;&gt;"",INDEX(IHZ_HAZ_DGCLASSIFI,122,1)&lt;&gt;"",INDEX(IHZ_HAZ_TEXTUALREF,122,1)&lt;&gt;"",INDEX(IHZ_HAZ_IMOHAZARDC,122,1)&lt;&gt;"",INDEX(IHZ_HAZ_UNNUMBER,122,1)&lt;&gt;"",INDEX(IHZ_HAZ_TOTAMOUNT,122,1)&lt;&gt;"",INDEX(IHZ_HAZ_PACKINGGRO,122,1)&lt;&gt;"",INDEX(IHZ_HAZ_FLASHPOINT,122,1)&lt;&gt;"",INDEX(IHZ_HAZ_MARPOLCODE,122,1)&lt;&gt;"",INDEX(IHZ_HAZ_PACTYPE,122,1)&lt;&gt;"",INDEX(IHZ_HAZ_TOTALPACKA,122,1)&lt;&gt;"",INDEX(IHZ_HAZ_ADDITIONAL,122,1)&lt;&gt;"",INDEX(IHZ_HAZ_EMS,122,1)&lt;&gt;"",INDEX(IHZ_HAZ_SUBSIDIARY,122,1)&lt;&gt;"",INDEX(IHZ_HAZ_UNITTYPE,122,1)&lt;&gt;"",INDEX(IHZ_HAZ_TEUID,122,1)&lt;&gt;"",INDEX(IHZ_HAZ_LOCATION,122,1)&lt;&gt;"",INDEX(IHZ_HAZ_PACKAGES,122,1)&lt;&gt;"",INDEX(IHZ_HAZ_AMOUNT,122,1)&lt;&gt;"",),IF(OR(INDEX(IHZ_HAZ_DGCLASSIFI,122,1)="",INDEX(IHZ_HAZ_TEXTUALREF,122,1)="",INDEX(IHZ_HAZ_TOTAMOUNT,122,1)="",INDEX(IHZ_HAZ_DPGREF,122,1)="",INDEX(IHZ_HAZ_CONSIGNMENT,122,1)="",),FALSE,TRUE),TRUE)</f>
        <v>1</v>
      </c>
      <c r="H129" s="237" t="str">
        <f t="shared" si="3"/>
        <v>Row 122 - All mandatory fields must be given</v>
      </c>
      <c r="I129" s="236" t="s">
        <v>1853</v>
      </c>
      <c r="J129" s="52" t="b">
        <f>IF(OR(INDEX(OHZ_HAZ_CONSIGNMENT,122,1)&lt;&gt;"",INDEX(OHZ_HAZ_TRANSDOCID,122,1)&lt;&gt;"",INDEX(OHZ_HAZ_PORTOFLOADING,122,1)&lt;&gt;"",INDEX(OHZ_HAZ_PORTOFDISCHARGE,122,1)&lt;&gt;"",INDEX(OHZ_HAZ_DPGREF,122,1)&lt;&gt;"",INDEX(OHZ_HAZ_DGCLASSIFI,122,1)&lt;&gt;"",INDEX(OHZ_HAZ_TEXTUALREF,122,1)&lt;&gt;"",INDEX(OHZ_HAZ_IMOHAZARDC,122,1)&lt;&gt;"",INDEX(OHZ_HAZ_UNNUMBER,122,1)&lt;&gt;"",INDEX(OHZ_HAZ_TOTAMOUNT,122,1)&lt;&gt;"",INDEX(OHZ_HAZ_PACKINGGRO,122,1)&lt;&gt;"",INDEX(OHZ_HAZ_FLASHPOINT,122,1)&lt;&gt;"",INDEX(OHZ_HAZ_MARPOLCODE,122,1)&lt;&gt;"",INDEX(OHZ_HAZ_PACTYPE,122,1)&lt;&gt;"",INDEX(OHZ_HAZ_TOTALPACKA,122,1)&lt;&gt;"",INDEX(OHZ_HAZ_ADDITIONAL,122,1)&lt;&gt;"",INDEX(OHZ_HAZ_EMS,122,1)&lt;&gt;"",INDEX(OHZ_HAZ_SUBSIDIARY,122,1)&lt;&gt;"",INDEX(OHZ_HAZ_UNITTYPE,122,1)&lt;&gt;"",INDEX(OHZ_HAZ_TEUID,122,1)&lt;&gt;"",INDEX(OHZ_HAZ_LOCATION,122,1)&lt;&gt;"",INDEX(OHZ_HAZ_PACKAGES,122,1)&lt;&gt;"",INDEX(OHZ_HAZ_AMOUNT,122,1)&lt;&gt;"",),IF(OR(INDEX(OHZ_HAZ_DGCLASSIFI,122,1)="",INDEX(OHZ_HAZ_TEXTUALREF,122,1)="",INDEX(OHZ_HAZ_TOTAMOUNT,122,1)="",INDEX(OHZ_HAZ_DPGREF,122,1)="",INDEX(OHZ_HAZ_CONSIGNMENT,122,1)="",),FALSE,TRUE),TRUE)</f>
        <v>1</v>
      </c>
      <c r="K129" s="237" t="str">
        <f t="shared" si="4"/>
        <v>Row 122 - All mandatory fields must be given</v>
      </c>
      <c r="L129" s="236" t="s">
        <v>1853</v>
      </c>
      <c r="S129" s="52"/>
      <c r="T129" s="52" t="s">
        <v>2214</v>
      </c>
      <c r="V129" s="52"/>
    </row>
    <row r="130" spans="4:22">
      <c r="D130" s="313" t="b">
        <f>OR(INDEX(WAS_ITE_GENERATEDU,1,1)="",COUNTIF(Units_description,INDEX(WAS_ITE_GENERATEDU,1,1))=1)</f>
        <v>1</v>
      </c>
      <c r="E130" s="330" t="s">
        <v>2417</v>
      </c>
      <c r="F130" s="236" t="s">
        <v>1853</v>
      </c>
      <c r="G130" s="250" t="b">
        <f>IF(OR(INDEX(IHZ_HAZ_CONSIGNMENT,123,1)&lt;&gt;"",INDEX(IHZ_HAZ_TRANSDOCID,123,1)&lt;&gt;"",INDEX(IHZ_HAZ_PORTOFLOADING,123,1)&lt;&gt;"",INDEX(IHZ_HAZ_PORTOFDISCHARGE,123,1)&lt;&gt;"",INDEX(IHZ_HAZ_DPGREF,123,1)&lt;&gt;"",INDEX(IHZ_HAZ_DGCLASSIFI,123,1)&lt;&gt;"",INDEX(IHZ_HAZ_TEXTUALREF,123,1)&lt;&gt;"",INDEX(IHZ_HAZ_IMOHAZARDC,123,1)&lt;&gt;"",INDEX(IHZ_HAZ_UNNUMBER,123,1)&lt;&gt;"",INDEX(IHZ_HAZ_TOTAMOUNT,123,1)&lt;&gt;"",INDEX(IHZ_HAZ_PACKINGGRO,123,1)&lt;&gt;"",INDEX(IHZ_HAZ_FLASHPOINT,123,1)&lt;&gt;"",INDEX(IHZ_HAZ_MARPOLCODE,123,1)&lt;&gt;"",INDEX(IHZ_HAZ_PACTYPE,123,1)&lt;&gt;"",INDEX(IHZ_HAZ_TOTALPACKA,123,1)&lt;&gt;"",INDEX(IHZ_HAZ_ADDITIONAL,123,1)&lt;&gt;"",INDEX(IHZ_HAZ_EMS,123,1)&lt;&gt;"",INDEX(IHZ_HAZ_SUBSIDIARY,123,1)&lt;&gt;"",INDEX(IHZ_HAZ_UNITTYPE,123,1)&lt;&gt;"",INDEX(IHZ_HAZ_TEUID,123,1)&lt;&gt;"",INDEX(IHZ_HAZ_LOCATION,123,1)&lt;&gt;"",INDEX(IHZ_HAZ_PACKAGES,123,1)&lt;&gt;"",INDEX(IHZ_HAZ_AMOUNT,123,1)&lt;&gt;"",),IF(OR(INDEX(IHZ_HAZ_DGCLASSIFI,123,1)="",INDEX(IHZ_HAZ_TEXTUALREF,123,1)="",INDEX(IHZ_HAZ_TOTAMOUNT,123,1)="",INDEX(IHZ_HAZ_DPGREF,123,1)="",INDEX(IHZ_HAZ_CONSIGNMENT,123,1)="",),FALSE,TRUE),TRUE)</f>
        <v>1</v>
      </c>
      <c r="H130" s="237" t="str">
        <f t="shared" si="3"/>
        <v>Row 123 - All mandatory fields must be given</v>
      </c>
      <c r="I130" s="236" t="s">
        <v>1853</v>
      </c>
      <c r="J130" s="52" t="b">
        <f>IF(OR(INDEX(OHZ_HAZ_CONSIGNMENT,123,1)&lt;&gt;"",INDEX(OHZ_HAZ_TRANSDOCID,123,1)&lt;&gt;"",INDEX(OHZ_HAZ_PORTOFLOADING,123,1)&lt;&gt;"",INDEX(OHZ_HAZ_PORTOFDISCHARGE,123,1)&lt;&gt;"",INDEX(OHZ_HAZ_DPGREF,123,1)&lt;&gt;"",INDEX(OHZ_HAZ_DGCLASSIFI,123,1)&lt;&gt;"",INDEX(OHZ_HAZ_TEXTUALREF,123,1)&lt;&gt;"",INDEX(OHZ_HAZ_IMOHAZARDC,123,1)&lt;&gt;"",INDEX(OHZ_HAZ_UNNUMBER,123,1)&lt;&gt;"",INDEX(OHZ_HAZ_TOTAMOUNT,123,1)&lt;&gt;"",INDEX(OHZ_HAZ_PACKINGGRO,123,1)&lt;&gt;"",INDEX(OHZ_HAZ_FLASHPOINT,123,1)&lt;&gt;"",INDEX(OHZ_HAZ_MARPOLCODE,123,1)&lt;&gt;"",INDEX(OHZ_HAZ_PACTYPE,123,1)&lt;&gt;"",INDEX(OHZ_HAZ_TOTALPACKA,123,1)&lt;&gt;"",INDEX(OHZ_HAZ_ADDITIONAL,123,1)&lt;&gt;"",INDEX(OHZ_HAZ_EMS,123,1)&lt;&gt;"",INDEX(OHZ_HAZ_SUBSIDIARY,123,1)&lt;&gt;"",INDEX(OHZ_HAZ_UNITTYPE,123,1)&lt;&gt;"",INDEX(OHZ_HAZ_TEUID,123,1)&lt;&gt;"",INDEX(OHZ_HAZ_LOCATION,123,1)&lt;&gt;"",INDEX(OHZ_HAZ_PACKAGES,123,1)&lt;&gt;"",INDEX(OHZ_HAZ_AMOUNT,123,1)&lt;&gt;"",),IF(OR(INDEX(OHZ_HAZ_DGCLASSIFI,123,1)="",INDEX(OHZ_HAZ_TEXTUALREF,123,1)="",INDEX(OHZ_HAZ_TOTAMOUNT,123,1)="",INDEX(OHZ_HAZ_DPGREF,123,1)="",INDEX(OHZ_HAZ_CONSIGNMENT,123,1)="",),FALSE,TRUE),TRUE)</f>
        <v>1</v>
      </c>
      <c r="K130" s="237" t="str">
        <f t="shared" si="4"/>
        <v>Row 123 - All mandatory fields must be given</v>
      </c>
      <c r="L130" s="236" t="s">
        <v>1853</v>
      </c>
      <c r="S130" s="52"/>
      <c r="T130" s="52" t="s">
        <v>2215</v>
      </c>
      <c r="V130" s="52"/>
    </row>
    <row r="131" spans="4:22">
      <c r="F131" s="236" t="s">
        <v>1853</v>
      </c>
      <c r="G131" s="250" t="b">
        <f>IF(OR(INDEX(IHZ_HAZ_CONSIGNMENT,124,1)&lt;&gt;"",INDEX(IHZ_HAZ_TRANSDOCID,124,1)&lt;&gt;"",INDEX(IHZ_HAZ_PORTOFLOADING,124,1)&lt;&gt;"",INDEX(IHZ_HAZ_PORTOFDISCHARGE,124,1)&lt;&gt;"",INDEX(IHZ_HAZ_DPGREF,124,1)&lt;&gt;"",INDEX(IHZ_HAZ_DGCLASSIFI,124,1)&lt;&gt;"",INDEX(IHZ_HAZ_TEXTUALREF,124,1)&lt;&gt;"",INDEX(IHZ_HAZ_IMOHAZARDC,124,1)&lt;&gt;"",INDEX(IHZ_HAZ_UNNUMBER,124,1)&lt;&gt;"",INDEX(IHZ_HAZ_TOTAMOUNT,124,1)&lt;&gt;"",INDEX(IHZ_HAZ_PACKINGGRO,124,1)&lt;&gt;"",INDEX(IHZ_HAZ_FLASHPOINT,124,1)&lt;&gt;"",INDEX(IHZ_HAZ_MARPOLCODE,124,1)&lt;&gt;"",INDEX(IHZ_HAZ_PACTYPE,124,1)&lt;&gt;"",INDEX(IHZ_HAZ_TOTALPACKA,124,1)&lt;&gt;"",INDEX(IHZ_HAZ_ADDITIONAL,124,1)&lt;&gt;"",INDEX(IHZ_HAZ_EMS,124,1)&lt;&gt;"",INDEX(IHZ_HAZ_SUBSIDIARY,124,1)&lt;&gt;"",INDEX(IHZ_HAZ_UNITTYPE,124,1)&lt;&gt;"",INDEX(IHZ_HAZ_TEUID,124,1)&lt;&gt;"",INDEX(IHZ_HAZ_LOCATION,124,1)&lt;&gt;"",INDEX(IHZ_HAZ_PACKAGES,124,1)&lt;&gt;"",INDEX(IHZ_HAZ_AMOUNT,124,1)&lt;&gt;"",),IF(OR(INDEX(IHZ_HAZ_DGCLASSIFI,124,1)="",INDEX(IHZ_HAZ_TEXTUALREF,124,1)="",INDEX(IHZ_HAZ_TOTAMOUNT,124,1)="",INDEX(IHZ_HAZ_DPGREF,124,1)="",INDEX(IHZ_HAZ_CONSIGNMENT,124,1)="",),FALSE,TRUE),TRUE)</f>
        <v>1</v>
      </c>
      <c r="H131" s="237" t="str">
        <f t="shared" si="3"/>
        <v>Row 124 - All mandatory fields must be given</v>
      </c>
      <c r="I131" s="236" t="s">
        <v>1853</v>
      </c>
      <c r="J131" s="52" t="b">
        <f>IF(OR(INDEX(OHZ_HAZ_CONSIGNMENT,124,1)&lt;&gt;"",INDEX(OHZ_HAZ_TRANSDOCID,124,1)&lt;&gt;"",INDEX(OHZ_HAZ_PORTOFLOADING,124,1)&lt;&gt;"",INDEX(OHZ_HAZ_PORTOFDISCHARGE,124,1)&lt;&gt;"",INDEX(OHZ_HAZ_DPGREF,124,1)&lt;&gt;"",INDEX(OHZ_HAZ_DGCLASSIFI,124,1)&lt;&gt;"",INDEX(OHZ_HAZ_TEXTUALREF,124,1)&lt;&gt;"",INDEX(OHZ_HAZ_IMOHAZARDC,124,1)&lt;&gt;"",INDEX(OHZ_HAZ_UNNUMBER,124,1)&lt;&gt;"",INDEX(OHZ_HAZ_TOTAMOUNT,124,1)&lt;&gt;"",INDEX(OHZ_HAZ_PACKINGGRO,124,1)&lt;&gt;"",INDEX(OHZ_HAZ_FLASHPOINT,124,1)&lt;&gt;"",INDEX(OHZ_HAZ_MARPOLCODE,124,1)&lt;&gt;"",INDEX(OHZ_HAZ_PACTYPE,124,1)&lt;&gt;"",INDEX(OHZ_HAZ_TOTALPACKA,124,1)&lt;&gt;"",INDEX(OHZ_HAZ_ADDITIONAL,124,1)&lt;&gt;"",INDEX(OHZ_HAZ_EMS,124,1)&lt;&gt;"",INDEX(OHZ_HAZ_SUBSIDIARY,124,1)&lt;&gt;"",INDEX(OHZ_HAZ_UNITTYPE,124,1)&lt;&gt;"",INDEX(OHZ_HAZ_TEUID,124,1)&lt;&gt;"",INDEX(OHZ_HAZ_LOCATION,124,1)&lt;&gt;"",INDEX(OHZ_HAZ_PACKAGES,124,1)&lt;&gt;"",INDEX(OHZ_HAZ_AMOUNT,124,1)&lt;&gt;"",),IF(OR(INDEX(OHZ_HAZ_DGCLASSIFI,124,1)="",INDEX(OHZ_HAZ_TEXTUALREF,124,1)="",INDEX(OHZ_HAZ_TOTAMOUNT,124,1)="",INDEX(OHZ_HAZ_DPGREF,124,1)="",INDEX(OHZ_HAZ_CONSIGNMENT,124,1)="",),FALSE,TRUE),TRUE)</f>
        <v>1</v>
      </c>
      <c r="K131" s="237" t="str">
        <f t="shared" si="4"/>
        <v>Row 124 - All mandatory fields must be given</v>
      </c>
      <c r="L131" s="236" t="s">
        <v>1853</v>
      </c>
      <c r="S131" s="52"/>
      <c r="T131" s="52" t="s">
        <v>2216</v>
      </c>
      <c r="V131" s="52"/>
    </row>
    <row r="132" spans="4:22">
      <c r="F132" s="236" t="s">
        <v>1853</v>
      </c>
      <c r="G132" s="250" t="b">
        <f>IF(OR(INDEX(IHZ_HAZ_CONSIGNMENT,125,1)&lt;&gt;"",INDEX(IHZ_HAZ_TRANSDOCID,125,1)&lt;&gt;"",INDEX(IHZ_HAZ_PORTOFLOADING,125,1)&lt;&gt;"",INDEX(IHZ_HAZ_PORTOFDISCHARGE,125,1)&lt;&gt;"",INDEX(IHZ_HAZ_DPGREF,125,1)&lt;&gt;"",INDEX(IHZ_HAZ_DGCLASSIFI,125,1)&lt;&gt;"",INDEX(IHZ_HAZ_TEXTUALREF,125,1)&lt;&gt;"",INDEX(IHZ_HAZ_IMOHAZARDC,125,1)&lt;&gt;"",INDEX(IHZ_HAZ_UNNUMBER,125,1)&lt;&gt;"",INDEX(IHZ_HAZ_TOTAMOUNT,125,1)&lt;&gt;"",INDEX(IHZ_HAZ_PACKINGGRO,125,1)&lt;&gt;"",INDEX(IHZ_HAZ_FLASHPOINT,125,1)&lt;&gt;"",INDEX(IHZ_HAZ_MARPOLCODE,125,1)&lt;&gt;"",INDEX(IHZ_HAZ_PACTYPE,125,1)&lt;&gt;"",INDEX(IHZ_HAZ_TOTALPACKA,125,1)&lt;&gt;"",INDEX(IHZ_HAZ_ADDITIONAL,125,1)&lt;&gt;"",INDEX(IHZ_HAZ_EMS,125,1)&lt;&gt;"",INDEX(IHZ_HAZ_SUBSIDIARY,125,1)&lt;&gt;"",INDEX(IHZ_HAZ_UNITTYPE,125,1)&lt;&gt;"",INDEX(IHZ_HAZ_TEUID,125,1)&lt;&gt;"",INDEX(IHZ_HAZ_LOCATION,125,1)&lt;&gt;"",INDEX(IHZ_HAZ_PACKAGES,125,1)&lt;&gt;"",INDEX(IHZ_HAZ_AMOUNT,125,1)&lt;&gt;"",),IF(OR(INDEX(IHZ_HAZ_DGCLASSIFI,125,1)="",INDEX(IHZ_HAZ_TEXTUALREF,125,1)="",INDEX(IHZ_HAZ_TOTAMOUNT,125,1)="",INDEX(IHZ_HAZ_DPGREF,125,1)="",INDEX(IHZ_HAZ_CONSIGNMENT,125,1)="",),FALSE,TRUE),TRUE)</f>
        <v>1</v>
      </c>
      <c r="H132" s="237" t="str">
        <f t="shared" si="3"/>
        <v>Row 125 - All mandatory fields must be given</v>
      </c>
      <c r="I132" s="236" t="s">
        <v>1853</v>
      </c>
      <c r="J132" s="52" t="b">
        <f>IF(OR(INDEX(OHZ_HAZ_CONSIGNMENT,125,1)&lt;&gt;"",INDEX(OHZ_HAZ_TRANSDOCID,125,1)&lt;&gt;"",INDEX(OHZ_HAZ_PORTOFLOADING,125,1)&lt;&gt;"",INDEX(OHZ_HAZ_PORTOFDISCHARGE,125,1)&lt;&gt;"",INDEX(OHZ_HAZ_DPGREF,125,1)&lt;&gt;"",INDEX(OHZ_HAZ_DGCLASSIFI,125,1)&lt;&gt;"",INDEX(OHZ_HAZ_TEXTUALREF,125,1)&lt;&gt;"",INDEX(OHZ_HAZ_IMOHAZARDC,125,1)&lt;&gt;"",INDEX(OHZ_HAZ_UNNUMBER,125,1)&lt;&gt;"",INDEX(OHZ_HAZ_TOTAMOUNT,125,1)&lt;&gt;"",INDEX(OHZ_HAZ_PACKINGGRO,125,1)&lt;&gt;"",INDEX(OHZ_HAZ_FLASHPOINT,125,1)&lt;&gt;"",INDEX(OHZ_HAZ_MARPOLCODE,125,1)&lt;&gt;"",INDEX(OHZ_HAZ_PACTYPE,125,1)&lt;&gt;"",INDEX(OHZ_HAZ_TOTALPACKA,125,1)&lt;&gt;"",INDEX(OHZ_HAZ_ADDITIONAL,125,1)&lt;&gt;"",INDEX(OHZ_HAZ_EMS,125,1)&lt;&gt;"",INDEX(OHZ_HAZ_SUBSIDIARY,125,1)&lt;&gt;"",INDEX(OHZ_HAZ_UNITTYPE,125,1)&lt;&gt;"",INDEX(OHZ_HAZ_TEUID,125,1)&lt;&gt;"",INDEX(OHZ_HAZ_LOCATION,125,1)&lt;&gt;"",INDEX(OHZ_HAZ_PACKAGES,125,1)&lt;&gt;"",INDEX(OHZ_HAZ_AMOUNT,125,1)&lt;&gt;"",),IF(OR(INDEX(OHZ_HAZ_DGCLASSIFI,125,1)="",INDEX(OHZ_HAZ_TEXTUALREF,125,1)="",INDEX(OHZ_HAZ_TOTAMOUNT,125,1)="",INDEX(OHZ_HAZ_DPGREF,125,1)="",INDEX(OHZ_HAZ_CONSIGNMENT,125,1)="",),FALSE,TRUE),TRUE)</f>
        <v>1</v>
      </c>
      <c r="K132" s="237" t="str">
        <f t="shared" si="4"/>
        <v>Row 125 - All mandatory fields must be given</v>
      </c>
      <c r="L132" s="236" t="s">
        <v>1853</v>
      </c>
      <c r="S132" s="52"/>
      <c r="T132" s="52" t="s">
        <v>2217</v>
      </c>
      <c r="V132" s="52"/>
    </row>
    <row r="133" spans="4:22">
      <c r="F133" s="236" t="s">
        <v>1853</v>
      </c>
      <c r="G133" s="250" t="b">
        <f>IF(OR(INDEX(IHZ_HAZ_CONSIGNMENT,126,1)&lt;&gt;"",INDEX(IHZ_HAZ_TRANSDOCID,126,1)&lt;&gt;"",INDEX(IHZ_HAZ_PORTOFLOADING,126,1)&lt;&gt;"",INDEX(IHZ_HAZ_PORTOFDISCHARGE,126,1)&lt;&gt;"",INDEX(IHZ_HAZ_DPGREF,126,1)&lt;&gt;"",INDEX(IHZ_HAZ_DGCLASSIFI,126,1)&lt;&gt;"",INDEX(IHZ_HAZ_TEXTUALREF,126,1)&lt;&gt;"",INDEX(IHZ_HAZ_IMOHAZARDC,126,1)&lt;&gt;"",INDEX(IHZ_HAZ_UNNUMBER,126,1)&lt;&gt;"",INDEX(IHZ_HAZ_TOTAMOUNT,126,1)&lt;&gt;"",INDEX(IHZ_HAZ_PACKINGGRO,126,1)&lt;&gt;"",INDEX(IHZ_HAZ_FLASHPOINT,126,1)&lt;&gt;"",INDEX(IHZ_HAZ_MARPOLCODE,126,1)&lt;&gt;"",INDEX(IHZ_HAZ_PACTYPE,126,1)&lt;&gt;"",INDEX(IHZ_HAZ_TOTALPACKA,126,1)&lt;&gt;"",INDEX(IHZ_HAZ_ADDITIONAL,126,1)&lt;&gt;"",INDEX(IHZ_HAZ_EMS,126,1)&lt;&gt;"",INDEX(IHZ_HAZ_SUBSIDIARY,126,1)&lt;&gt;"",INDEX(IHZ_HAZ_UNITTYPE,126,1)&lt;&gt;"",INDEX(IHZ_HAZ_TEUID,126,1)&lt;&gt;"",INDEX(IHZ_HAZ_LOCATION,126,1)&lt;&gt;"",INDEX(IHZ_HAZ_PACKAGES,126,1)&lt;&gt;"",INDEX(IHZ_HAZ_AMOUNT,126,1)&lt;&gt;"",),IF(OR(INDEX(IHZ_HAZ_DGCLASSIFI,126,1)="",INDEX(IHZ_HAZ_TEXTUALREF,126,1)="",INDEX(IHZ_HAZ_TOTAMOUNT,126,1)="",INDEX(IHZ_HAZ_DPGREF,126,1)="",INDEX(IHZ_HAZ_CONSIGNMENT,126,1)="",),FALSE,TRUE),TRUE)</f>
        <v>1</v>
      </c>
      <c r="H133" s="237" t="str">
        <f t="shared" si="3"/>
        <v>Row 126 - All mandatory fields must be given</v>
      </c>
      <c r="I133" s="236" t="s">
        <v>1853</v>
      </c>
      <c r="J133" s="52" t="b">
        <f>IF(OR(INDEX(OHZ_HAZ_CONSIGNMENT,126,1)&lt;&gt;"",INDEX(OHZ_HAZ_TRANSDOCID,126,1)&lt;&gt;"",INDEX(OHZ_HAZ_PORTOFLOADING,126,1)&lt;&gt;"",INDEX(OHZ_HAZ_PORTOFDISCHARGE,126,1)&lt;&gt;"",INDEX(OHZ_HAZ_DPGREF,126,1)&lt;&gt;"",INDEX(OHZ_HAZ_DGCLASSIFI,126,1)&lt;&gt;"",INDEX(OHZ_HAZ_TEXTUALREF,126,1)&lt;&gt;"",INDEX(OHZ_HAZ_IMOHAZARDC,126,1)&lt;&gt;"",INDEX(OHZ_HAZ_UNNUMBER,126,1)&lt;&gt;"",INDEX(OHZ_HAZ_TOTAMOUNT,126,1)&lt;&gt;"",INDEX(OHZ_HAZ_PACKINGGRO,126,1)&lt;&gt;"",INDEX(OHZ_HAZ_FLASHPOINT,126,1)&lt;&gt;"",INDEX(OHZ_HAZ_MARPOLCODE,126,1)&lt;&gt;"",INDEX(OHZ_HAZ_PACTYPE,126,1)&lt;&gt;"",INDEX(OHZ_HAZ_TOTALPACKA,126,1)&lt;&gt;"",INDEX(OHZ_HAZ_ADDITIONAL,126,1)&lt;&gt;"",INDEX(OHZ_HAZ_EMS,126,1)&lt;&gt;"",INDEX(OHZ_HAZ_SUBSIDIARY,126,1)&lt;&gt;"",INDEX(OHZ_HAZ_UNITTYPE,126,1)&lt;&gt;"",INDEX(OHZ_HAZ_TEUID,126,1)&lt;&gt;"",INDEX(OHZ_HAZ_LOCATION,126,1)&lt;&gt;"",INDEX(OHZ_HAZ_PACKAGES,126,1)&lt;&gt;"",INDEX(OHZ_HAZ_AMOUNT,126,1)&lt;&gt;"",),IF(OR(INDEX(OHZ_HAZ_DGCLASSIFI,126,1)="",INDEX(OHZ_HAZ_TEXTUALREF,126,1)="",INDEX(OHZ_HAZ_TOTAMOUNT,126,1)="",INDEX(OHZ_HAZ_DPGREF,126,1)="",INDEX(OHZ_HAZ_CONSIGNMENT,126,1)="",),FALSE,TRUE),TRUE)</f>
        <v>1</v>
      </c>
      <c r="K133" s="237" t="str">
        <f t="shared" si="4"/>
        <v>Row 126 - All mandatory fields must be given</v>
      </c>
      <c r="L133" s="236" t="s">
        <v>1853</v>
      </c>
      <c r="S133" s="52"/>
      <c r="T133" s="52" t="s">
        <v>2218</v>
      </c>
      <c r="V133" s="52"/>
    </row>
    <row r="134" spans="4:22">
      <c r="F134" s="236" t="s">
        <v>1853</v>
      </c>
      <c r="G134" s="250" t="b">
        <f>IF(OR(INDEX(IHZ_HAZ_CONSIGNMENT,127,1)&lt;&gt;"",INDEX(IHZ_HAZ_TRANSDOCID,127,1)&lt;&gt;"",INDEX(IHZ_HAZ_PORTOFLOADING,127,1)&lt;&gt;"",INDEX(IHZ_HAZ_PORTOFDISCHARGE,127,1)&lt;&gt;"",INDEX(IHZ_HAZ_DPGREF,127,1)&lt;&gt;"",INDEX(IHZ_HAZ_DGCLASSIFI,127,1)&lt;&gt;"",INDEX(IHZ_HAZ_TEXTUALREF,127,1)&lt;&gt;"",INDEX(IHZ_HAZ_IMOHAZARDC,127,1)&lt;&gt;"",INDEX(IHZ_HAZ_UNNUMBER,127,1)&lt;&gt;"",INDEX(IHZ_HAZ_TOTAMOUNT,127,1)&lt;&gt;"",INDEX(IHZ_HAZ_PACKINGGRO,127,1)&lt;&gt;"",INDEX(IHZ_HAZ_FLASHPOINT,127,1)&lt;&gt;"",INDEX(IHZ_HAZ_MARPOLCODE,127,1)&lt;&gt;"",INDEX(IHZ_HAZ_PACTYPE,127,1)&lt;&gt;"",INDEX(IHZ_HAZ_TOTALPACKA,127,1)&lt;&gt;"",INDEX(IHZ_HAZ_ADDITIONAL,127,1)&lt;&gt;"",INDEX(IHZ_HAZ_EMS,127,1)&lt;&gt;"",INDEX(IHZ_HAZ_SUBSIDIARY,127,1)&lt;&gt;"",INDEX(IHZ_HAZ_UNITTYPE,127,1)&lt;&gt;"",INDEX(IHZ_HAZ_TEUID,127,1)&lt;&gt;"",INDEX(IHZ_HAZ_LOCATION,127,1)&lt;&gt;"",INDEX(IHZ_HAZ_PACKAGES,127,1)&lt;&gt;"",INDEX(IHZ_HAZ_AMOUNT,127,1)&lt;&gt;"",),IF(OR(INDEX(IHZ_HAZ_DGCLASSIFI,127,1)="",INDEX(IHZ_HAZ_TEXTUALREF,127,1)="",INDEX(IHZ_HAZ_TOTAMOUNT,127,1)="",INDEX(IHZ_HAZ_DPGREF,127,1)="",INDEX(IHZ_HAZ_CONSIGNMENT,127,1)="",),FALSE,TRUE),TRUE)</f>
        <v>1</v>
      </c>
      <c r="H134" s="237" t="str">
        <f t="shared" si="3"/>
        <v>Row 127 - All mandatory fields must be given</v>
      </c>
      <c r="I134" s="236" t="s">
        <v>1853</v>
      </c>
      <c r="J134" s="52" t="b">
        <f>IF(OR(INDEX(OHZ_HAZ_CONSIGNMENT,127,1)&lt;&gt;"",INDEX(OHZ_HAZ_TRANSDOCID,127,1)&lt;&gt;"",INDEX(OHZ_HAZ_PORTOFLOADING,127,1)&lt;&gt;"",INDEX(OHZ_HAZ_PORTOFDISCHARGE,127,1)&lt;&gt;"",INDEX(OHZ_HAZ_DPGREF,127,1)&lt;&gt;"",INDEX(OHZ_HAZ_DGCLASSIFI,127,1)&lt;&gt;"",INDEX(OHZ_HAZ_TEXTUALREF,127,1)&lt;&gt;"",INDEX(OHZ_HAZ_IMOHAZARDC,127,1)&lt;&gt;"",INDEX(OHZ_HAZ_UNNUMBER,127,1)&lt;&gt;"",INDEX(OHZ_HAZ_TOTAMOUNT,127,1)&lt;&gt;"",INDEX(OHZ_HAZ_PACKINGGRO,127,1)&lt;&gt;"",INDEX(OHZ_HAZ_FLASHPOINT,127,1)&lt;&gt;"",INDEX(OHZ_HAZ_MARPOLCODE,127,1)&lt;&gt;"",INDEX(OHZ_HAZ_PACTYPE,127,1)&lt;&gt;"",INDEX(OHZ_HAZ_TOTALPACKA,127,1)&lt;&gt;"",INDEX(OHZ_HAZ_ADDITIONAL,127,1)&lt;&gt;"",INDEX(OHZ_HAZ_EMS,127,1)&lt;&gt;"",INDEX(OHZ_HAZ_SUBSIDIARY,127,1)&lt;&gt;"",INDEX(OHZ_HAZ_UNITTYPE,127,1)&lt;&gt;"",INDEX(OHZ_HAZ_TEUID,127,1)&lt;&gt;"",INDEX(OHZ_HAZ_LOCATION,127,1)&lt;&gt;"",INDEX(OHZ_HAZ_PACKAGES,127,1)&lt;&gt;"",INDEX(OHZ_HAZ_AMOUNT,127,1)&lt;&gt;"",),IF(OR(INDEX(OHZ_HAZ_DGCLASSIFI,127,1)="",INDEX(OHZ_HAZ_TEXTUALREF,127,1)="",INDEX(OHZ_HAZ_TOTAMOUNT,127,1)="",INDEX(OHZ_HAZ_DPGREF,127,1)="",INDEX(OHZ_HAZ_CONSIGNMENT,127,1)="",),FALSE,TRUE),TRUE)</f>
        <v>1</v>
      </c>
      <c r="K134" s="237" t="str">
        <f t="shared" si="4"/>
        <v>Row 127 - All mandatory fields must be given</v>
      </c>
      <c r="L134" s="236" t="s">
        <v>1853</v>
      </c>
      <c r="S134" s="52"/>
      <c r="T134" s="52" t="s">
        <v>2219</v>
      </c>
      <c r="V134" s="52"/>
    </row>
    <row r="135" spans="4:22">
      <c r="F135" s="236" t="s">
        <v>1853</v>
      </c>
      <c r="G135" s="250" t="b">
        <f>IF(OR(INDEX(IHZ_HAZ_CONSIGNMENT,128,1)&lt;&gt;"",INDEX(IHZ_HAZ_TRANSDOCID,128,1)&lt;&gt;"",INDEX(IHZ_HAZ_PORTOFLOADING,128,1)&lt;&gt;"",INDEX(IHZ_HAZ_PORTOFDISCHARGE,128,1)&lt;&gt;"",INDEX(IHZ_HAZ_DPGREF,128,1)&lt;&gt;"",INDEX(IHZ_HAZ_DGCLASSIFI,128,1)&lt;&gt;"",INDEX(IHZ_HAZ_TEXTUALREF,128,1)&lt;&gt;"",INDEX(IHZ_HAZ_IMOHAZARDC,128,1)&lt;&gt;"",INDEX(IHZ_HAZ_UNNUMBER,128,1)&lt;&gt;"",INDEX(IHZ_HAZ_TOTAMOUNT,128,1)&lt;&gt;"",INDEX(IHZ_HAZ_PACKINGGRO,128,1)&lt;&gt;"",INDEX(IHZ_HAZ_FLASHPOINT,128,1)&lt;&gt;"",INDEX(IHZ_HAZ_MARPOLCODE,128,1)&lt;&gt;"",INDEX(IHZ_HAZ_PACTYPE,128,1)&lt;&gt;"",INDEX(IHZ_HAZ_TOTALPACKA,128,1)&lt;&gt;"",INDEX(IHZ_HAZ_ADDITIONAL,128,1)&lt;&gt;"",INDEX(IHZ_HAZ_EMS,128,1)&lt;&gt;"",INDEX(IHZ_HAZ_SUBSIDIARY,128,1)&lt;&gt;"",INDEX(IHZ_HAZ_UNITTYPE,128,1)&lt;&gt;"",INDEX(IHZ_HAZ_TEUID,128,1)&lt;&gt;"",INDEX(IHZ_HAZ_LOCATION,128,1)&lt;&gt;"",INDEX(IHZ_HAZ_PACKAGES,128,1)&lt;&gt;"",INDEX(IHZ_HAZ_AMOUNT,128,1)&lt;&gt;"",),IF(OR(INDEX(IHZ_HAZ_DGCLASSIFI,128,1)="",INDEX(IHZ_HAZ_TEXTUALREF,128,1)="",INDEX(IHZ_HAZ_TOTAMOUNT,128,1)="",INDEX(IHZ_HAZ_DPGREF,128,1)="",INDEX(IHZ_HAZ_CONSIGNMENT,128,1)="",),FALSE,TRUE),TRUE)</f>
        <v>1</v>
      </c>
      <c r="H135" s="237" t="str">
        <f t="shared" si="3"/>
        <v>Row 128 - All mandatory fields must be given</v>
      </c>
      <c r="I135" s="236" t="s">
        <v>1853</v>
      </c>
      <c r="J135" s="52" t="b">
        <f>IF(OR(INDEX(OHZ_HAZ_CONSIGNMENT,128,1)&lt;&gt;"",INDEX(OHZ_HAZ_TRANSDOCID,128,1)&lt;&gt;"",INDEX(OHZ_HAZ_PORTOFLOADING,128,1)&lt;&gt;"",INDEX(OHZ_HAZ_PORTOFDISCHARGE,128,1)&lt;&gt;"",INDEX(OHZ_HAZ_DPGREF,128,1)&lt;&gt;"",INDEX(OHZ_HAZ_DGCLASSIFI,128,1)&lt;&gt;"",INDEX(OHZ_HAZ_TEXTUALREF,128,1)&lt;&gt;"",INDEX(OHZ_HAZ_IMOHAZARDC,128,1)&lt;&gt;"",INDEX(OHZ_HAZ_UNNUMBER,128,1)&lt;&gt;"",INDEX(OHZ_HAZ_TOTAMOUNT,128,1)&lt;&gt;"",INDEX(OHZ_HAZ_PACKINGGRO,128,1)&lt;&gt;"",INDEX(OHZ_HAZ_FLASHPOINT,128,1)&lt;&gt;"",INDEX(OHZ_HAZ_MARPOLCODE,128,1)&lt;&gt;"",INDEX(OHZ_HAZ_PACTYPE,128,1)&lt;&gt;"",INDEX(OHZ_HAZ_TOTALPACKA,128,1)&lt;&gt;"",INDEX(OHZ_HAZ_ADDITIONAL,128,1)&lt;&gt;"",INDEX(OHZ_HAZ_EMS,128,1)&lt;&gt;"",INDEX(OHZ_HAZ_SUBSIDIARY,128,1)&lt;&gt;"",INDEX(OHZ_HAZ_UNITTYPE,128,1)&lt;&gt;"",INDEX(OHZ_HAZ_TEUID,128,1)&lt;&gt;"",INDEX(OHZ_HAZ_LOCATION,128,1)&lt;&gt;"",INDEX(OHZ_HAZ_PACKAGES,128,1)&lt;&gt;"",INDEX(OHZ_HAZ_AMOUNT,128,1)&lt;&gt;"",),IF(OR(INDEX(OHZ_HAZ_DGCLASSIFI,128,1)="",INDEX(OHZ_HAZ_TEXTUALREF,128,1)="",INDEX(OHZ_HAZ_TOTAMOUNT,128,1)="",INDEX(OHZ_HAZ_DPGREF,128,1)="",INDEX(OHZ_HAZ_CONSIGNMENT,128,1)="",),FALSE,TRUE),TRUE)</f>
        <v>1</v>
      </c>
      <c r="K135" s="237" t="str">
        <f t="shared" si="4"/>
        <v>Row 128 - All mandatory fields must be given</v>
      </c>
      <c r="L135" s="236" t="s">
        <v>1853</v>
      </c>
      <c r="S135" s="52"/>
      <c r="T135" s="52" t="s">
        <v>2220</v>
      </c>
      <c r="V135" s="52"/>
    </row>
    <row r="136" spans="4:22">
      <c r="F136" s="236" t="s">
        <v>1853</v>
      </c>
      <c r="G136" s="250" t="b">
        <f>IF(OR(INDEX(IHZ_HAZ_CONSIGNMENT,129,1)&lt;&gt;"",INDEX(IHZ_HAZ_TRANSDOCID,129,1)&lt;&gt;"",INDEX(IHZ_HAZ_PORTOFLOADING,129,1)&lt;&gt;"",INDEX(IHZ_HAZ_PORTOFDISCHARGE,129,1)&lt;&gt;"",INDEX(IHZ_HAZ_DPGREF,129,1)&lt;&gt;"",INDEX(IHZ_HAZ_DGCLASSIFI,129,1)&lt;&gt;"",INDEX(IHZ_HAZ_TEXTUALREF,129,1)&lt;&gt;"",INDEX(IHZ_HAZ_IMOHAZARDC,129,1)&lt;&gt;"",INDEX(IHZ_HAZ_UNNUMBER,129,1)&lt;&gt;"",INDEX(IHZ_HAZ_TOTAMOUNT,129,1)&lt;&gt;"",INDEX(IHZ_HAZ_PACKINGGRO,129,1)&lt;&gt;"",INDEX(IHZ_HAZ_FLASHPOINT,129,1)&lt;&gt;"",INDEX(IHZ_HAZ_MARPOLCODE,129,1)&lt;&gt;"",INDEX(IHZ_HAZ_PACTYPE,129,1)&lt;&gt;"",INDEX(IHZ_HAZ_TOTALPACKA,129,1)&lt;&gt;"",INDEX(IHZ_HAZ_ADDITIONAL,129,1)&lt;&gt;"",INDEX(IHZ_HAZ_EMS,129,1)&lt;&gt;"",INDEX(IHZ_HAZ_SUBSIDIARY,129,1)&lt;&gt;"",INDEX(IHZ_HAZ_UNITTYPE,129,1)&lt;&gt;"",INDEX(IHZ_HAZ_TEUID,129,1)&lt;&gt;"",INDEX(IHZ_HAZ_LOCATION,129,1)&lt;&gt;"",INDEX(IHZ_HAZ_PACKAGES,129,1)&lt;&gt;"",INDEX(IHZ_HAZ_AMOUNT,129,1)&lt;&gt;"",),IF(OR(INDEX(IHZ_HAZ_DGCLASSIFI,129,1)="",INDEX(IHZ_HAZ_TEXTUALREF,129,1)="",INDEX(IHZ_HAZ_TOTAMOUNT,129,1)="",INDEX(IHZ_HAZ_DPGREF,129,1)="",INDEX(IHZ_HAZ_CONSIGNMENT,129,1)="",),FALSE,TRUE),TRUE)</f>
        <v>1</v>
      </c>
      <c r="H136" s="237" t="str">
        <f t="shared" si="3"/>
        <v>Row 129 - All mandatory fields must be given</v>
      </c>
      <c r="I136" s="236" t="s">
        <v>1853</v>
      </c>
      <c r="J136" s="52" t="b">
        <f>IF(OR(INDEX(OHZ_HAZ_CONSIGNMENT,129,1)&lt;&gt;"",INDEX(OHZ_HAZ_TRANSDOCID,129,1)&lt;&gt;"",INDEX(OHZ_HAZ_PORTOFLOADING,129,1)&lt;&gt;"",INDEX(OHZ_HAZ_PORTOFDISCHARGE,129,1)&lt;&gt;"",INDEX(OHZ_HAZ_DPGREF,129,1)&lt;&gt;"",INDEX(OHZ_HAZ_DGCLASSIFI,129,1)&lt;&gt;"",INDEX(OHZ_HAZ_TEXTUALREF,129,1)&lt;&gt;"",INDEX(OHZ_HAZ_IMOHAZARDC,129,1)&lt;&gt;"",INDEX(OHZ_HAZ_UNNUMBER,129,1)&lt;&gt;"",INDEX(OHZ_HAZ_TOTAMOUNT,129,1)&lt;&gt;"",INDEX(OHZ_HAZ_PACKINGGRO,129,1)&lt;&gt;"",INDEX(OHZ_HAZ_FLASHPOINT,129,1)&lt;&gt;"",INDEX(OHZ_HAZ_MARPOLCODE,129,1)&lt;&gt;"",INDEX(OHZ_HAZ_PACTYPE,129,1)&lt;&gt;"",INDEX(OHZ_HAZ_TOTALPACKA,129,1)&lt;&gt;"",INDEX(OHZ_HAZ_ADDITIONAL,129,1)&lt;&gt;"",INDEX(OHZ_HAZ_EMS,129,1)&lt;&gt;"",INDEX(OHZ_HAZ_SUBSIDIARY,129,1)&lt;&gt;"",INDEX(OHZ_HAZ_UNITTYPE,129,1)&lt;&gt;"",INDEX(OHZ_HAZ_TEUID,129,1)&lt;&gt;"",INDEX(OHZ_HAZ_LOCATION,129,1)&lt;&gt;"",INDEX(OHZ_HAZ_PACKAGES,129,1)&lt;&gt;"",INDEX(OHZ_HAZ_AMOUNT,129,1)&lt;&gt;"",),IF(OR(INDEX(OHZ_HAZ_DGCLASSIFI,129,1)="",INDEX(OHZ_HAZ_TEXTUALREF,129,1)="",INDEX(OHZ_HAZ_TOTAMOUNT,129,1)="",INDEX(OHZ_HAZ_DPGREF,129,1)="",INDEX(OHZ_HAZ_CONSIGNMENT,129,1)="",),FALSE,TRUE),TRUE)</f>
        <v>1</v>
      </c>
      <c r="K136" s="237" t="str">
        <f t="shared" si="4"/>
        <v>Row 129 - All mandatory fields must be given</v>
      </c>
      <c r="L136" s="236" t="s">
        <v>1853</v>
      </c>
      <c r="S136" s="52"/>
      <c r="T136" s="52" t="s">
        <v>2221</v>
      </c>
      <c r="V136" s="52"/>
    </row>
    <row r="137" spans="4:22">
      <c r="F137" s="236" t="s">
        <v>1853</v>
      </c>
      <c r="G137" s="250" t="b">
        <f>IF(OR(INDEX(IHZ_HAZ_CONSIGNMENT,130,1)&lt;&gt;"",INDEX(IHZ_HAZ_TRANSDOCID,130,1)&lt;&gt;"",INDEX(IHZ_HAZ_PORTOFLOADING,130,1)&lt;&gt;"",INDEX(IHZ_HAZ_PORTOFDISCHARGE,130,1)&lt;&gt;"",INDEX(IHZ_HAZ_DPGREF,130,1)&lt;&gt;"",INDEX(IHZ_HAZ_DGCLASSIFI,130,1)&lt;&gt;"",INDEX(IHZ_HAZ_TEXTUALREF,130,1)&lt;&gt;"",INDEX(IHZ_HAZ_IMOHAZARDC,130,1)&lt;&gt;"",INDEX(IHZ_HAZ_UNNUMBER,130,1)&lt;&gt;"",INDEX(IHZ_HAZ_TOTAMOUNT,130,1)&lt;&gt;"",INDEX(IHZ_HAZ_PACKINGGRO,130,1)&lt;&gt;"",INDEX(IHZ_HAZ_FLASHPOINT,130,1)&lt;&gt;"",INDEX(IHZ_HAZ_MARPOLCODE,130,1)&lt;&gt;"",INDEX(IHZ_HAZ_PACTYPE,130,1)&lt;&gt;"",INDEX(IHZ_HAZ_TOTALPACKA,130,1)&lt;&gt;"",INDEX(IHZ_HAZ_ADDITIONAL,130,1)&lt;&gt;"",INDEX(IHZ_HAZ_EMS,130,1)&lt;&gt;"",INDEX(IHZ_HAZ_SUBSIDIARY,130,1)&lt;&gt;"",INDEX(IHZ_HAZ_UNITTYPE,130,1)&lt;&gt;"",INDEX(IHZ_HAZ_TEUID,130,1)&lt;&gt;"",INDEX(IHZ_HAZ_LOCATION,130,1)&lt;&gt;"",INDEX(IHZ_HAZ_PACKAGES,130,1)&lt;&gt;"",INDEX(IHZ_HAZ_AMOUNT,130,1)&lt;&gt;"",),IF(OR(INDEX(IHZ_HAZ_DGCLASSIFI,130,1)="",INDEX(IHZ_HAZ_TEXTUALREF,130,1)="",INDEX(IHZ_HAZ_TOTAMOUNT,130,1)="",INDEX(IHZ_HAZ_DPGREF,130,1)="",INDEX(IHZ_HAZ_CONSIGNMENT,130,1)="",),FALSE,TRUE),TRUE)</f>
        <v>1</v>
      </c>
      <c r="H137" s="237" t="str">
        <f t="shared" ref="H137:H200" si="5">T130&amp;$V$1</f>
        <v>Row 130 - All mandatory fields must be given</v>
      </c>
      <c r="I137" s="236" t="s">
        <v>1853</v>
      </c>
      <c r="J137" s="52" t="b">
        <f>IF(OR(INDEX(OHZ_HAZ_CONSIGNMENT,130,1)&lt;&gt;"",INDEX(OHZ_HAZ_TRANSDOCID,130,1)&lt;&gt;"",INDEX(OHZ_HAZ_PORTOFLOADING,130,1)&lt;&gt;"",INDEX(OHZ_HAZ_PORTOFDISCHARGE,130,1)&lt;&gt;"",INDEX(OHZ_HAZ_DPGREF,130,1)&lt;&gt;"",INDEX(OHZ_HAZ_DGCLASSIFI,130,1)&lt;&gt;"",INDEX(OHZ_HAZ_TEXTUALREF,130,1)&lt;&gt;"",INDEX(OHZ_HAZ_IMOHAZARDC,130,1)&lt;&gt;"",INDEX(OHZ_HAZ_UNNUMBER,130,1)&lt;&gt;"",INDEX(OHZ_HAZ_TOTAMOUNT,130,1)&lt;&gt;"",INDEX(OHZ_HAZ_PACKINGGRO,130,1)&lt;&gt;"",INDEX(OHZ_HAZ_FLASHPOINT,130,1)&lt;&gt;"",INDEX(OHZ_HAZ_MARPOLCODE,130,1)&lt;&gt;"",INDEX(OHZ_HAZ_PACTYPE,130,1)&lt;&gt;"",INDEX(OHZ_HAZ_TOTALPACKA,130,1)&lt;&gt;"",INDEX(OHZ_HAZ_ADDITIONAL,130,1)&lt;&gt;"",INDEX(OHZ_HAZ_EMS,130,1)&lt;&gt;"",INDEX(OHZ_HAZ_SUBSIDIARY,130,1)&lt;&gt;"",INDEX(OHZ_HAZ_UNITTYPE,130,1)&lt;&gt;"",INDEX(OHZ_HAZ_TEUID,130,1)&lt;&gt;"",INDEX(OHZ_HAZ_LOCATION,130,1)&lt;&gt;"",INDEX(OHZ_HAZ_PACKAGES,130,1)&lt;&gt;"",INDEX(OHZ_HAZ_AMOUNT,130,1)&lt;&gt;"",),IF(OR(INDEX(OHZ_HAZ_DGCLASSIFI,130,1)="",INDEX(OHZ_HAZ_TEXTUALREF,130,1)="",INDEX(OHZ_HAZ_TOTAMOUNT,130,1)="",INDEX(OHZ_HAZ_DPGREF,130,1)="",INDEX(OHZ_HAZ_CONSIGNMENT,130,1)="",),FALSE,TRUE),TRUE)</f>
        <v>1</v>
      </c>
      <c r="K137" s="237" t="str">
        <f t="shared" ref="K137:K200" si="6">T130&amp;$V$1</f>
        <v>Row 130 - All mandatory fields must be given</v>
      </c>
      <c r="L137" s="236" t="s">
        <v>1853</v>
      </c>
      <c r="S137" s="52"/>
      <c r="T137" s="52" t="s">
        <v>2222</v>
      </c>
      <c r="V137" s="52"/>
    </row>
    <row r="138" spans="4:22">
      <c r="F138" s="236" t="s">
        <v>1853</v>
      </c>
      <c r="G138" s="250" t="b">
        <f>IF(OR(INDEX(IHZ_HAZ_CONSIGNMENT,131,1)&lt;&gt;"",INDEX(IHZ_HAZ_TRANSDOCID,131,1)&lt;&gt;"",INDEX(IHZ_HAZ_PORTOFLOADING,131,1)&lt;&gt;"",INDEX(IHZ_HAZ_PORTOFDISCHARGE,131,1)&lt;&gt;"",INDEX(IHZ_HAZ_DPGREF,131,1)&lt;&gt;"",INDEX(IHZ_HAZ_DGCLASSIFI,131,1)&lt;&gt;"",INDEX(IHZ_HAZ_TEXTUALREF,131,1)&lt;&gt;"",INDEX(IHZ_HAZ_IMOHAZARDC,131,1)&lt;&gt;"",INDEX(IHZ_HAZ_UNNUMBER,131,1)&lt;&gt;"",INDEX(IHZ_HAZ_TOTAMOUNT,131,1)&lt;&gt;"",INDEX(IHZ_HAZ_PACKINGGRO,131,1)&lt;&gt;"",INDEX(IHZ_HAZ_FLASHPOINT,131,1)&lt;&gt;"",INDEX(IHZ_HAZ_MARPOLCODE,131,1)&lt;&gt;"",INDEX(IHZ_HAZ_PACTYPE,131,1)&lt;&gt;"",INDEX(IHZ_HAZ_TOTALPACKA,131,1)&lt;&gt;"",INDEX(IHZ_HAZ_ADDITIONAL,131,1)&lt;&gt;"",INDEX(IHZ_HAZ_EMS,131,1)&lt;&gt;"",INDEX(IHZ_HAZ_SUBSIDIARY,131,1)&lt;&gt;"",INDEX(IHZ_HAZ_UNITTYPE,131,1)&lt;&gt;"",INDEX(IHZ_HAZ_TEUID,131,1)&lt;&gt;"",INDEX(IHZ_HAZ_LOCATION,131,1)&lt;&gt;"",INDEX(IHZ_HAZ_PACKAGES,131,1)&lt;&gt;"",INDEX(IHZ_HAZ_AMOUNT,131,1)&lt;&gt;"",),IF(OR(INDEX(IHZ_HAZ_DGCLASSIFI,131,1)="",INDEX(IHZ_HAZ_TEXTUALREF,131,1)="",INDEX(IHZ_HAZ_TOTAMOUNT,131,1)="",INDEX(IHZ_HAZ_DPGREF,131,1)="",INDEX(IHZ_HAZ_CONSIGNMENT,131,1)="",),FALSE,TRUE),TRUE)</f>
        <v>1</v>
      </c>
      <c r="H138" s="237" t="str">
        <f t="shared" si="5"/>
        <v>Row 131 - All mandatory fields must be given</v>
      </c>
      <c r="I138" s="236" t="s">
        <v>1853</v>
      </c>
      <c r="J138" s="52" t="b">
        <f>IF(OR(INDEX(OHZ_HAZ_CONSIGNMENT,131,1)&lt;&gt;"",INDEX(OHZ_HAZ_TRANSDOCID,131,1)&lt;&gt;"",INDEX(OHZ_HAZ_PORTOFLOADING,131,1)&lt;&gt;"",INDEX(OHZ_HAZ_PORTOFDISCHARGE,131,1)&lt;&gt;"",INDEX(OHZ_HAZ_DPGREF,131,1)&lt;&gt;"",INDEX(OHZ_HAZ_DGCLASSIFI,131,1)&lt;&gt;"",INDEX(OHZ_HAZ_TEXTUALREF,131,1)&lt;&gt;"",INDEX(OHZ_HAZ_IMOHAZARDC,131,1)&lt;&gt;"",INDEX(OHZ_HAZ_UNNUMBER,131,1)&lt;&gt;"",INDEX(OHZ_HAZ_TOTAMOUNT,131,1)&lt;&gt;"",INDEX(OHZ_HAZ_PACKINGGRO,131,1)&lt;&gt;"",INDEX(OHZ_HAZ_FLASHPOINT,131,1)&lt;&gt;"",INDEX(OHZ_HAZ_MARPOLCODE,131,1)&lt;&gt;"",INDEX(OHZ_HAZ_PACTYPE,131,1)&lt;&gt;"",INDEX(OHZ_HAZ_TOTALPACKA,131,1)&lt;&gt;"",INDEX(OHZ_HAZ_ADDITIONAL,131,1)&lt;&gt;"",INDEX(OHZ_HAZ_EMS,131,1)&lt;&gt;"",INDEX(OHZ_HAZ_SUBSIDIARY,131,1)&lt;&gt;"",INDEX(OHZ_HAZ_UNITTYPE,131,1)&lt;&gt;"",INDEX(OHZ_HAZ_TEUID,131,1)&lt;&gt;"",INDEX(OHZ_HAZ_LOCATION,131,1)&lt;&gt;"",INDEX(OHZ_HAZ_PACKAGES,131,1)&lt;&gt;"",INDEX(OHZ_HAZ_AMOUNT,131,1)&lt;&gt;"",),IF(OR(INDEX(OHZ_HAZ_DGCLASSIFI,131,1)="",INDEX(OHZ_HAZ_TEXTUALREF,131,1)="",INDEX(OHZ_HAZ_TOTAMOUNT,131,1)="",INDEX(OHZ_HAZ_DPGREF,131,1)="",INDEX(OHZ_HAZ_CONSIGNMENT,131,1)="",),FALSE,TRUE),TRUE)</f>
        <v>1</v>
      </c>
      <c r="K138" s="237" t="str">
        <f t="shared" si="6"/>
        <v>Row 131 - All mandatory fields must be given</v>
      </c>
      <c r="L138" s="236" t="s">
        <v>1853</v>
      </c>
      <c r="S138" s="52"/>
      <c r="T138" s="52" t="s">
        <v>2223</v>
      </c>
      <c r="V138" s="52"/>
    </row>
    <row r="139" spans="4:22">
      <c r="F139" s="236" t="s">
        <v>1853</v>
      </c>
      <c r="G139" s="250" t="b">
        <f>IF(OR(INDEX(IHZ_HAZ_CONSIGNMENT,132,1)&lt;&gt;"",INDEX(IHZ_HAZ_TRANSDOCID,132,1)&lt;&gt;"",INDEX(IHZ_HAZ_PORTOFLOADING,132,1)&lt;&gt;"",INDEX(IHZ_HAZ_PORTOFDISCHARGE,132,1)&lt;&gt;"",INDEX(IHZ_HAZ_DPGREF,132,1)&lt;&gt;"",INDEX(IHZ_HAZ_DGCLASSIFI,132,1)&lt;&gt;"",INDEX(IHZ_HAZ_TEXTUALREF,132,1)&lt;&gt;"",INDEX(IHZ_HAZ_IMOHAZARDC,132,1)&lt;&gt;"",INDEX(IHZ_HAZ_UNNUMBER,132,1)&lt;&gt;"",INDEX(IHZ_HAZ_TOTAMOUNT,132,1)&lt;&gt;"",INDEX(IHZ_HAZ_PACKINGGRO,132,1)&lt;&gt;"",INDEX(IHZ_HAZ_FLASHPOINT,132,1)&lt;&gt;"",INDEX(IHZ_HAZ_MARPOLCODE,132,1)&lt;&gt;"",INDEX(IHZ_HAZ_PACTYPE,132,1)&lt;&gt;"",INDEX(IHZ_HAZ_TOTALPACKA,132,1)&lt;&gt;"",INDEX(IHZ_HAZ_ADDITIONAL,132,1)&lt;&gt;"",INDEX(IHZ_HAZ_EMS,132,1)&lt;&gt;"",INDEX(IHZ_HAZ_SUBSIDIARY,132,1)&lt;&gt;"",INDEX(IHZ_HAZ_UNITTYPE,132,1)&lt;&gt;"",INDEX(IHZ_HAZ_TEUID,132,1)&lt;&gt;"",INDEX(IHZ_HAZ_LOCATION,132,1)&lt;&gt;"",INDEX(IHZ_HAZ_PACKAGES,132,1)&lt;&gt;"",INDEX(IHZ_HAZ_AMOUNT,132,1)&lt;&gt;"",),IF(OR(INDEX(IHZ_HAZ_DGCLASSIFI,132,1)="",INDEX(IHZ_HAZ_TEXTUALREF,132,1)="",INDEX(IHZ_HAZ_TOTAMOUNT,132,1)="",INDEX(IHZ_HAZ_DPGREF,132,1)="",INDEX(IHZ_HAZ_CONSIGNMENT,132,1)="",),FALSE,TRUE),TRUE)</f>
        <v>1</v>
      </c>
      <c r="H139" s="237" t="str">
        <f t="shared" si="5"/>
        <v>Row 132 - All mandatory fields must be given</v>
      </c>
      <c r="I139" s="236" t="s">
        <v>1853</v>
      </c>
      <c r="J139" s="52" t="b">
        <f>IF(OR(INDEX(OHZ_HAZ_CONSIGNMENT,132,1)&lt;&gt;"",INDEX(OHZ_HAZ_TRANSDOCID,132,1)&lt;&gt;"",INDEX(OHZ_HAZ_PORTOFLOADING,132,1)&lt;&gt;"",INDEX(OHZ_HAZ_PORTOFDISCHARGE,132,1)&lt;&gt;"",INDEX(OHZ_HAZ_DPGREF,132,1)&lt;&gt;"",INDEX(OHZ_HAZ_DGCLASSIFI,132,1)&lt;&gt;"",INDEX(OHZ_HAZ_TEXTUALREF,132,1)&lt;&gt;"",INDEX(OHZ_HAZ_IMOHAZARDC,132,1)&lt;&gt;"",INDEX(OHZ_HAZ_UNNUMBER,132,1)&lt;&gt;"",INDEX(OHZ_HAZ_TOTAMOUNT,132,1)&lt;&gt;"",INDEX(OHZ_HAZ_PACKINGGRO,132,1)&lt;&gt;"",INDEX(OHZ_HAZ_FLASHPOINT,132,1)&lt;&gt;"",INDEX(OHZ_HAZ_MARPOLCODE,132,1)&lt;&gt;"",INDEX(OHZ_HAZ_PACTYPE,132,1)&lt;&gt;"",INDEX(OHZ_HAZ_TOTALPACKA,132,1)&lt;&gt;"",INDEX(OHZ_HAZ_ADDITIONAL,132,1)&lt;&gt;"",INDEX(OHZ_HAZ_EMS,132,1)&lt;&gt;"",INDEX(OHZ_HAZ_SUBSIDIARY,132,1)&lt;&gt;"",INDEX(OHZ_HAZ_UNITTYPE,132,1)&lt;&gt;"",INDEX(OHZ_HAZ_TEUID,132,1)&lt;&gt;"",INDEX(OHZ_HAZ_LOCATION,132,1)&lt;&gt;"",INDEX(OHZ_HAZ_PACKAGES,132,1)&lt;&gt;"",INDEX(OHZ_HAZ_AMOUNT,132,1)&lt;&gt;"",),IF(OR(INDEX(OHZ_HAZ_DGCLASSIFI,132,1)="",INDEX(OHZ_HAZ_TEXTUALREF,132,1)="",INDEX(OHZ_HAZ_TOTAMOUNT,132,1)="",INDEX(OHZ_HAZ_DPGREF,132,1)="",INDEX(OHZ_HAZ_CONSIGNMENT,132,1)="",),FALSE,TRUE),TRUE)</f>
        <v>1</v>
      </c>
      <c r="K139" s="237" t="str">
        <f t="shared" si="6"/>
        <v>Row 132 - All mandatory fields must be given</v>
      </c>
      <c r="L139" s="236" t="s">
        <v>1853</v>
      </c>
      <c r="S139" s="52"/>
      <c r="T139" s="52" t="s">
        <v>2224</v>
      </c>
      <c r="V139" s="52"/>
    </row>
    <row r="140" spans="4:22">
      <c r="F140" s="236" t="s">
        <v>1853</v>
      </c>
      <c r="G140" s="250" t="b">
        <f>IF(OR(INDEX(IHZ_HAZ_CONSIGNMENT,133,1)&lt;&gt;"",INDEX(IHZ_HAZ_TRANSDOCID,133,1)&lt;&gt;"",INDEX(IHZ_HAZ_PORTOFLOADING,133,1)&lt;&gt;"",INDEX(IHZ_HAZ_PORTOFDISCHARGE,133,1)&lt;&gt;"",INDEX(IHZ_HAZ_DPGREF,133,1)&lt;&gt;"",INDEX(IHZ_HAZ_DGCLASSIFI,133,1)&lt;&gt;"",INDEX(IHZ_HAZ_TEXTUALREF,133,1)&lt;&gt;"",INDEX(IHZ_HAZ_IMOHAZARDC,133,1)&lt;&gt;"",INDEX(IHZ_HAZ_UNNUMBER,133,1)&lt;&gt;"",INDEX(IHZ_HAZ_TOTAMOUNT,133,1)&lt;&gt;"",INDEX(IHZ_HAZ_PACKINGGRO,133,1)&lt;&gt;"",INDEX(IHZ_HAZ_FLASHPOINT,133,1)&lt;&gt;"",INDEX(IHZ_HAZ_MARPOLCODE,133,1)&lt;&gt;"",INDEX(IHZ_HAZ_PACTYPE,133,1)&lt;&gt;"",INDEX(IHZ_HAZ_TOTALPACKA,133,1)&lt;&gt;"",INDEX(IHZ_HAZ_ADDITIONAL,133,1)&lt;&gt;"",INDEX(IHZ_HAZ_EMS,133,1)&lt;&gt;"",INDEX(IHZ_HAZ_SUBSIDIARY,133,1)&lt;&gt;"",INDEX(IHZ_HAZ_UNITTYPE,133,1)&lt;&gt;"",INDEX(IHZ_HAZ_TEUID,133,1)&lt;&gt;"",INDEX(IHZ_HAZ_LOCATION,133,1)&lt;&gt;"",INDEX(IHZ_HAZ_PACKAGES,133,1)&lt;&gt;"",INDEX(IHZ_HAZ_AMOUNT,133,1)&lt;&gt;"",),IF(OR(INDEX(IHZ_HAZ_DGCLASSIFI,133,1)="",INDEX(IHZ_HAZ_TEXTUALREF,133,1)="",INDEX(IHZ_HAZ_TOTAMOUNT,133,1)="",INDEX(IHZ_HAZ_DPGREF,133,1)="",INDEX(IHZ_HAZ_CONSIGNMENT,133,1)="",),FALSE,TRUE),TRUE)</f>
        <v>1</v>
      </c>
      <c r="H140" s="237" t="str">
        <f t="shared" si="5"/>
        <v>Row 133 - All mandatory fields must be given</v>
      </c>
      <c r="I140" s="236" t="s">
        <v>1853</v>
      </c>
      <c r="J140" s="52" t="b">
        <f>IF(OR(INDEX(OHZ_HAZ_CONSIGNMENT,133,1)&lt;&gt;"",INDEX(OHZ_HAZ_TRANSDOCID,133,1)&lt;&gt;"",INDEX(OHZ_HAZ_PORTOFLOADING,133,1)&lt;&gt;"",INDEX(OHZ_HAZ_PORTOFDISCHARGE,133,1)&lt;&gt;"",INDEX(OHZ_HAZ_DPGREF,133,1)&lt;&gt;"",INDEX(OHZ_HAZ_DGCLASSIFI,133,1)&lt;&gt;"",INDEX(OHZ_HAZ_TEXTUALREF,133,1)&lt;&gt;"",INDEX(OHZ_HAZ_IMOHAZARDC,133,1)&lt;&gt;"",INDEX(OHZ_HAZ_UNNUMBER,133,1)&lt;&gt;"",INDEX(OHZ_HAZ_TOTAMOUNT,133,1)&lt;&gt;"",INDEX(OHZ_HAZ_PACKINGGRO,133,1)&lt;&gt;"",INDEX(OHZ_HAZ_FLASHPOINT,133,1)&lt;&gt;"",INDEX(OHZ_HAZ_MARPOLCODE,133,1)&lt;&gt;"",INDEX(OHZ_HAZ_PACTYPE,133,1)&lt;&gt;"",INDEX(OHZ_HAZ_TOTALPACKA,133,1)&lt;&gt;"",INDEX(OHZ_HAZ_ADDITIONAL,133,1)&lt;&gt;"",INDEX(OHZ_HAZ_EMS,133,1)&lt;&gt;"",INDEX(OHZ_HAZ_SUBSIDIARY,133,1)&lt;&gt;"",INDEX(OHZ_HAZ_UNITTYPE,133,1)&lt;&gt;"",INDEX(OHZ_HAZ_TEUID,133,1)&lt;&gt;"",INDEX(OHZ_HAZ_LOCATION,133,1)&lt;&gt;"",INDEX(OHZ_HAZ_PACKAGES,133,1)&lt;&gt;"",INDEX(OHZ_HAZ_AMOUNT,133,1)&lt;&gt;"",),IF(OR(INDEX(OHZ_HAZ_DGCLASSIFI,133,1)="",INDEX(OHZ_HAZ_TEXTUALREF,133,1)="",INDEX(OHZ_HAZ_TOTAMOUNT,133,1)="",INDEX(OHZ_HAZ_DPGREF,133,1)="",INDEX(OHZ_HAZ_CONSIGNMENT,133,1)="",),FALSE,TRUE),TRUE)</f>
        <v>1</v>
      </c>
      <c r="K140" s="237" t="str">
        <f t="shared" si="6"/>
        <v>Row 133 - All mandatory fields must be given</v>
      </c>
      <c r="L140" s="236" t="s">
        <v>1853</v>
      </c>
      <c r="S140" s="52"/>
      <c r="T140" s="52" t="s">
        <v>2225</v>
      </c>
      <c r="V140" s="52"/>
    </row>
    <row r="141" spans="4:22">
      <c r="F141" s="236" t="s">
        <v>1853</v>
      </c>
      <c r="G141" s="250" t="b">
        <f>IF(OR(INDEX(IHZ_HAZ_CONSIGNMENT,134,1)&lt;&gt;"",INDEX(IHZ_HAZ_TRANSDOCID,134,1)&lt;&gt;"",INDEX(IHZ_HAZ_PORTOFLOADING,134,1)&lt;&gt;"",INDEX(IHZ_HAZ_PORTOFDISCHARGE,134,1)&lt;&gt;"",INDEX(IHZ_HAZ_DPGREF,134,1)&lt;&gt;"",INDEX(IHZ_HAZ_DGCLASSIFI,134,1)&lt;&gt;"",INDEX(IHZ_HAZ_TEXTUALREF,134,1)&lt;&gt;"",INDEX(IHZ_HAZ_IMOHAZARDC,134,1)&lt;&gt;"",INDEX(IHZ_HAZ_UNNUMBER,134,1)&lt;&gt;"",INDEX(IHZ_HAZ_TOTAMOUNT,134,1)&lt;&gt;"",INDEX(IHZ_HAZ_PACKINGGRO,134,1)&lt;&gt;"",INDEX(IHZ_HAZ_FLASHPOINT,134,1)&lt;&gt;"",INDEX(IHZ_HAZ_MARPOLCODE,134,1)&lt;&gt;"",INDEX(IHZ_HAZ_PACTYPE,134,1)&lt;&gt;"",INDEX(IHZ_HAZ_TOTALPACKA,134,1)&lt;&gt;"",INDEX(IHZ_HAZ_ADDITIONAL,134,1)&lt;&gt;"",INDEX(IHZ_HAZ_EMS,134,1)&lt;&gt;"",INDEX(IHZ_HAZ_SUBSIDIARY,134,1)&lt;&gt;"",INDEX(IHZ_HAZ_UNITTYPE,134,1)&lt;&gt;"",INDEX(IHZ_HAZ_TEUID,134,1)&lt;&gt;"",INDEX(IHZ_HAZ_LOCATION,134,1)&lt;&gt;"",INDEX(IHZ_HAZ_PACKAGES,134,1)&lt;&gt;"",INDEX(IHZ_HAZ_AMOUNT,134,1)&lt;&gt;"",),IF(OR(INDEX(IHZ_HAZ_DGCLASSIFI,134,1)="",INDEX(IHZ_HAZ_TEXTUALREF,134,1)="",INDEX(IHZ_HAZ_TOTAMOUNT,134,1)="",INDEX(IHZ_HAZ_DPGREF,134,1)="",INDEX(IHZ_HAZ_CONSIGNMENT,134,1)="",),FALSE,TRUE),TRUE)</f>
        <v>1</v>
      </c>
      <c r="H141" s="237" t="str">
        <f t="shared" si="5"/>
        <v>Row 134 - All mandatory fields must be given</v>
      </c>
      <c r="I141" s="236" t="s">
        <v>1853</v>
      </c>
      <c r="J141" s="52" t="b">
        <f>IF(OR(INDEX(OHZ_HAZ_CONSIGNMENT,134,1)&lt;&gt;"",INDEX(OHZ_HAZ_TRANSDOCID,134,1)&lt;&gt;"",INDEX(OHZ_HAZ_PORTOFLOADING,134,1)&lt;&gt;"",INDEX(OHZ_HAZ_PORTOFDISCHARGE,134,1)&lt;&gt;"",INDEX(OHZ_HAZ_DPGREF,134,1)&lt;&gt;"",INDEX(OHZ_HAZ_DGCLASSIFI,134,1)&lt;&gt;"",INDEX(OHZ_HAZ_TEXTUALREF,134,1)&lt;&gt;"",INDEX(OHZ_HAZ_IMOHAZARDC,134,1)&lt;&gt;"",INDEX(OHZ_HAZ_UNNUMBER,134,1)&lt;&gt;"",INDEX(OHZ_HAZ_TOTAMOUNT,134,1)&lt;&gt;"",INDEX(OHZ_HAZ_PACKINGGRO,134,1)&lt;&gt;"",INDEX(OHZ_HAZ_FLASHPOINT,134,1)&lt;&gt;"",INDEX(OHZ_HAZ_MARPOLCODE,134,1)&lt;&gt;"",INDEX(OHZ_HAZ_PACTYPE,134,1)&lt;&gt;"",INDEX(OHZ_HAZ_TOTALPACKA,134,1)&lt;&gt;"",INDEX(OHZ_HAZ_ADDITIONAL,134,1)&lt;&gt;"",INDEX(OHZ_HAZ_EMS,134,1)&lt;&gt;"",INDEX(OHZ_HAZ_SUBSIDIARY,134,1)&lt;&gt;"",INDEX(OHZ_HAZ_UNITTYPE,134,1)&lt;&gt;"",INDEX(OHZ_HAZ_TEUID,134,1)&lt;&gt;"",INDEX(OHZ_HAZ_LOCATION,134,1)&lt;&gt;"",INDEX(OHZ_HAZ_PACKAGES,134,1)&lt;&gt;"",INDEX(OHZ_HAZ_AMOUNT,134,1)&lt;&gt;"",),IF(OR(INDEX(OHZ_HAZ_DGCLASSIFI,134,1)="",INDEX(OHZ_HAZ_TEXTUALREF,134,1)="",INDEX(OHZ_HAZ_TOTAMOUNT,134,1)="",INDEX(OHZ_HAZ_DPGREF,134,1)="",INDEX(OHZ_HAZ_CONSIGNMENT,134,1)="",),FALSE,TRUE),TRUE)</f>
        <v>1</v>
      </c>
      <c r="K141" s="237" t="str">
        <f t="shared" si="6"/>
        <v>Row 134 - All mandatory fields must be given</v>
      </c>
      <c r="L141" s="236" t="s">
        <v>1853</v>
      </c>
      <c r="S141" s="52"/>
      <c r="T141" s="52" t="s">
        <v>2226</v>
      </c>
      <c r="V141" s="52"/>
    </row>
    <row r="142" spans="4:22">
      <c r="F142" s="236" t="s">
        <v>1853</v>
      </c>
      <c r="G142" s="250" t="b">
        <f>IF(OR(INDEX(IHZ_HAZ_CONSIGNMENT,135,1)&lt;&gt;"",INDEX(IHZ_HAZ_TRANSDOCID,135,1)&lt;&gt;"",INDEX(IHZ_HAZ_PORTOFLOADING,135,1)&lt;&gt;"",INDEX(IHZ_HAZ_PORTOFDISCHARGE,135,1)&lt;&gt;"",INDEX(IHZ_HAZ_DPGREF,135,1)&lt;&gt;"",INDEX(IHZ_HAZ_DGCLASSIFI,135,1)&lt;&gt;"",INDEX(IHZ_HAZ_TEXTUALREF,135,1)&lt;&gt;"",INDEX(IHZ_HAZ_IMOHAZARDC,135,1)&lt;&gt;"",INDEX(IHZ_HAZ_UNNUMBER,135,1)&lt;&gt;"",INDEX(IHZ_HAZ_TOTAMOUNT,135,1)&lt;&gt;"",INDEX(IHZ_HAZ_PACKINGGRO,135,1)&lt;&gt;"",INDEX(IHZ_HAZ_FLASHPOINT,135,1)&lt;&gt;"",INDEX(IHZ_HAZ_MARPOLCODE,135,1)&lt;&gt;"",INDEX(IHZ_HAZ_PACTYPE,135,1)&lt;&gt;"",INDEX(IHZ_HAZ_TOTALPACKA,135,1)&lt;&gt;"",INDEX(IHZ_HAZ_ADDITIONAL,135,1)&lt;&gt;"",INDEX(IHZ_HAZ_EMS,135,1)&lt;&gt;"",INDEX(IHZ_HAZ_SUBSIDIARY,135,1)&lt;&gt;"",INDEX(IHZ_HAZ_UNITTYPE,135,1)&lt;&gt;"",INDEX(IHZ_HAZ_TEUID,135,1)&lt;&gt;"",INDEX(IHZ_HAZ_LOCATION,135,1)&lt;&gt;"",INDEX(IHZ_HAZ_PACKAGES,135,1)&lt;&gt;"",INDEX(IHZ_HAZ_AMOUNT,135,1)&lt;&gt;"",),IF(OR(INDEX(IHZ_HAZ_DGCLASSIFI,135,1)="",INDEX(IHZ_HAZ_TEXTUALREF,135,1)="",INDEX(IHZ_HAZ_TOTAMOUNT,135,1)="",INDEX(IHZ_HAZ_DPGREF,135,1)="",INDEX(IHZ_HAZ_CONSIGNMENT,135,1)="",),FALSE,TRUE),TRUE)</f>
        <v>1</v>
      </c>
      <c r="H142" s="237" t="str">
        <f t="shared" si="5"/>
        <v>Row 135 - All mandatory fields must be given</v>
      </c>
      <c r="I142" s="236" t="s">
        <v>1853</v>
      </c>
      <c r="J142" s="52" t="b">
        <f>IF(OR(INDEX(OHZ_HAZ_CONSIGNMENT,135,1)&lt;&gt;"",INDEX(OHZ_HAZ_TRANSDOCID,135,1)&lt;&gt;"",INDEX(OHZ_HAZ_PORTOFLOADING,135,1)&lt;&gt;"",INDEX(OHZ_HAZ_PORTOFDISCHARGE,135,1)&lt;&gt;"",INDEX(OHZ_HAZ_DPGREF,135,1)&lt;&gt;"",INDEX(OHZ_HAZ_DGCLASSIFI,135,1)&lt;&gt;"",INDEX(OHZ_HAZ_TEXTUALREF,135,1)&lt;&gt;"",INDEX(OHZ_HAZ_IMOHAZARDC,135,1)&lt;&gt;"",INDEX(OHZ_HAZ_UNNUMBER,135,1)&lt;&gt;"",INDEX(OHZ_HAZ_TOTAMOUNT,135,1)&lt;&gt;"",INDEX(OHZ_HAZ_PACKINGGRO,135,1)&lt;&gt;"",INDEX(OHZ_HAZ_FLASHPOINT,135,1)&lt;&gt;"",INDEX(OHZ_HAZ_MARPOLCODE,135,1)&lt;&gt;"",INDEX(OHZ_HAZ_PACTYPE,135,1)&lt;&gt;"",INDEX(OHZ_HAZ_TOTALPACKA,135,1)&lt;&gt;"",INDEX(OHZ_HAZ_ADDITIONAL,135,1)&lt;&gt;"",INDEX(OHZ_HAZ_EMS,135,1)&lt;&gt;"",INDEX(OHZ_HAZ_SUBSIDIARY,135,1)&lt;&gt;"",INDEX(OHZ_HAZ_UNITTYPE,135,1)&lt;&gt;"",INDEX(OHZ_HAZ_TEUID,135,1)&lt;&gt;"",INDEX(OHZ_HAZ_LOCATION,135,1)&lt;&gt;"",INDEX(OHZ_HAZ_PACKAGES,135,1)&lt;&gt;"",INDEX(OHZ_HAZ_AMOUNT,135,1)&lt;&gt;"",),IF(OR(INDEX(OHZ_HAZ_DGCLASSIFI,135,1)="",INDEX(OHZ_HAZ_TEXTUALREF,135,1)="",INDEX(OHZ_HAZ_TOTAMOUNT,135,1)="",INDEX(OHZ_HAZ_DPGREF,135,1)="",INDEX(OHZ_HAZ_CONSIGNMENT,135,1)="",),FALSE,TRUE),TRUE)</f>
        <v>1</v>
      </c>
      <c r="K142" s="237" t="str">
        <f t="shared" si="6"/>
        <v>Row 135 - All mandatory fields must be given</v>
      </c>
      <c r="L142" s="236" t="s">
        <v>1853</v>
      </c>
      <c r="S142" s="52"/>
      <c r="T142" s="52" t="s">
        <v>2227</v>
      </c>
      <c r="V142" s="52"/>
    </row>
    <row r="143" spans="4:22">
      <c r="F143" s="236" t="s">
        <v>1853</v>
      </c>
      <c r="G143" s="250" t="b">
        <f>IF(OR(INDEX(IHZ_HAZ_CONSIGNMENT,136,1)&lt;&gt;"",INDEX(IHZ_HAZ_TRANSDOCID,136,1)&lt;&gt;"",INDEX(IHZ_HAZ_PORTOFLOADING,136,1)&lt;&gt;"",INDEX(IHZ_HAZ_PORTOFDISCHARGE,136,1)&lt;&gt;"",INDEX(IHZ_HAZ_DPGREF,136,1)&lt;&gt;"",INDEX(IHZ_HAZ_DGCLASSIFI,136,1)&lt;&gt;"",INDEX(IHZ_HAZ_TEXTUALREF,136,1)&lt;&gt;"",INDEX(IHZ_HAZ_IMOHAZARDC,136,1)&lt;&gt;"",INDEX(IHZ_HAZ_UNNUMBER,136,1)&lt;&gt;"",INDEX(IHZ_HAZ_TOTAMOUNT,136,1)&lt;&gt;"",INDEX(IHZ_HAZ_PACKINGGRO,136,1)&lt;&gt;"",INDEX(IHZ_HAZ_FLASHPOINT,136,1)&lt;&gt;"",INDEX(IHZ_HAZ_MARPOLCODE,136,1)&lt;&gt;"",INDEX(IHZ_HAZ_PACTYPE,136,1)&lt;&gt;"",INDEX(IHZ_HAZ_TOTALPACKA,136,1)&lt;&gt;"",INDEX(IHZ_HAZ_ADDITIONAL,136,1)&lt;&gt;"",INDEX(IHZ_HAZ_EMS,136,1)&lt;&gt;"",INDEX(IHZ_HAZ_SUBSIDIARY,136,1)&lt;&gt;"",INDEX(IHZ_HAZ_UNITTYPE,136,1)&lt;&gt;"",INDEX(IHZ_HAZ_TEUID,136,1)&lt;&gt;"",INDEX(IHZ_HAZ_LOCATION,136,1)&lt;&gt;"",INDEX(IHZ_HAZ_PACKAGES,136,1)&lt;&gt;"",INDEX(IHZ_HAZ_AMOUNT,136,1)&lt;&gt;"",),IF(OR(INDEX(IHZ_HAZ_DGCLASSIFI,136,1)="",INDEX(IHZ_HAZ_TEXTUALREF,136,1)="",INDEX(IHZ_HAZ_TOTAMOUNT,136,1)="",INDEX(IHZ_HAZ_DPGREF,136,1)="",INDEX(IHZ_HAZ_CONSIGNMENT,136,1)="",),FALSE,TRUE),TRUE)</f>
        <v>1</v>
      </c>
      <c r="H143" s="237" t="str">
        <f t="shared" si="5"/>
        <v>Row 136 - All mandatory fields must be given</v>
      </c>
      <c r="I143" s="236" t="s">
        <v>1853</v>
      </c>
      <c r="J143" s="52" t="b">
        <f>IF(OR(INDEX(OHZ_HAZ_CONSIGNMENT,136,1)&lt;&gt;"",INDEX(OHZ_HAZ_TRANSDOCID,136,1)&lt;&gt;"",INDEX(OHZ_HAZ_PORTOFLOADING,136,1)&lt;&gt;"",INDEX(OHZ_HAZ_PORTOFDISCHARGE,136,1)&lt;&gt;"",INDEX(OHZ_HAZ_DPGREF,136,1)&lt;&gt;"",INDEX(OHZ_HAZ_DGCLASSIFI,136,1)&lt;&gt;"",INDEX(OHZ_HAZ_TEXTUALREF,136,1)&lt;&gt;"",INDEX(OHZ_HAZ_IMOHAZARDC,136,1)&lt;&gt;"",INDEX(OHZ_HAZ_UNNUMBER,136,1)&lt;&gt;"",INDEX(OHZ_HAZ_TOTAMOUNT,136,1)&lt;&gt;"",INDEX(OHZ_HAZ_PACKINGGRO,136,1)&lt;&gt;"",INDEX(OHZ_HAZ_FLASHPOINT,136,1)&lt;&gt;"",INDEX(OHZ_HAZ_MARPOLCODE,136,1)&lt;&gt;"",INDEX(OHZ_HAZ_PACTYPE,136,1)&lt;&gt;"",INDEX(OHZ_HAZ_TOTALPACKA,136,1)&lt;&gt;"",INDEX(OHZ_HAZ_ADDITIONAL,136,1)&lt;&gt;"",INDEX(OHZ_HAZ_EMS,136,1)&lt;&gt;"",INDEX(OHZ_HAZ_SUBSIDIARY,136,1)&lt;&gt;"",INDEX(OHZ_HAZ_UNITTYPE,136,1)&lt;&gt;"",INDEX(OHZ_HAZ_TEUID,136,1)&lt;&gt;"",INDEX(OHZ_HAZ_LOCATION,136,1)&lt;&gt;"",INDEX(OHZ_HAZ_PACKAGES,136,1)&lt;&gt;"",INDEX(OHZ_HAZ_AMOUNT,136,1)&lt;&gt;"",),IF(OR(INDEX(OHZ_HAZ_DGCLASSIFI,136,1)="",INDEX(OHZ_HAZ_TEXTUALREF,136,1)="",INDEX(OHZ_HAZ_TOTAMOUNT,136,1)="",INDEX(OHZ_HAZ_DPGREF,136,1)="",INDEX(OHZ_HAZ_CONSIGNMENT,136,1)="",),FALSE,TRUE),TRUE)</f>
        <v>1</v>
      </c>
      <c r="K143" s="237" t="str">
        <f t="shared" si="6"/>
        <v>Row 136 - All mandatory fields must be given</v>
      </c>
      <c r="L143" s="236" t="s">
        <v>1853</v>
      </c>
      <c r="S143" s="52"/>
      <c r="T143" s="52" t="s">
        <v>2228</v>
      </c>
      <c r="V143" s="52"/>
    </row>
    <row r="144" spans="4:22">
      <c r="F144" s="236" t="s">
        <v>1853</v>
      </c>
      <c r="G144" s="250" t="b">
        <f>IF(OR(INDEX(IHZ_HAZ_CONSIGNMENT,137,1)&lt;&gt;"",INDEX(IHZ_HAZ_TRANSDOCID,137,1)&lt;&gt;"",INDEX(IHZ_HAZ_PORTOFLOADING,137,1)&lt;&gt;"",INDEX(IHZ_HAZ_PORTOFDISCHARGE,137,1)&lt;&gt;"",INDEX(IHZ_HAZ_DPGREF,137,1)&lt;&gt;"",INDEX(IHZ_HAZ_DGCLASSIFI,137,1)&lt;&gt;"",INDEX(IHZ_HAZ_TEXTUALREF,137,1)&lt;&gt;"",INDEX(IHZ_HAZ_IMOHAZARDC,137,1)&lt;&gt;"",INDEX(IHZ_HAZ_UNNUMBER,137,1)&lt;&gt;"",INDEX(IHZ_HAZ_TOTAMOUNT,137,1)&lt;&gt;"",INDEX(IHZ_HAZ_PACKINGGRO,137,1)&lt;&gt;"",INDEX(IHZ_HAZ_FLASHPOINT,137,1)&lt;&gt;"",INDEX(IHZ_HAZ_MARPOLCODE,137,1)&lt;&gt;"",INDEX(IHZ_HAZ_PACTYPE,137,1)&lt;&gt;"",INDEX(IHZ_HAZ_TOTALPACKA,137,1)&lt;&gt;"",INDEX(IHZ_HAZ_ADDITIONAL,137,1)&lt;&gt;"",INDEX(IHZ_HAZ_EMS,137,1)&lt;&gt;"",INDEX(IHZ_HAZ_SUBSIDIARY,137,1)&lt;&gt;"",INDEX(IHZ_HAZ_UNITTYPE,137,1)&lt;&gt;"",INDEX(IHZ_HAZ_TEUID,137,1)&lt;&gt;"",INDEX(IHZ_HAZ_LOCATION,137,1)&lt;&gt;"",INDEX(IHZ_HAZ_PACKAGES,137,1)&lt;&gt;"",INDEX(IHZ_HAZ_AMOUNT,137,1)&lt;&gt;"",),IF(OR(INDEX(IHZ_HAZ_DGCLASSIFI,137,1)="",INDEX(IHZ_HAZ_TEXTUALREF,137,1)="",INDEX(IHZ_HAZ_TOTAMOUNT,137,1)="",INDEX(IHZ_HAZ_DPGREF,137,1)="",INDEX(IHZ_HAZ_CONSIGNMENT,137,1)="",),FALSE,TRUE),TRUE)</f>
        <v>1</v>
      </c>
      <c r="H144" s="237" t="str">
        <f t="shared" si="5"/>
        <v>Row 137 - All mandatory fields must be given</v>
      </c>
      <c r="I144" s="236" t="s">
        <v>1853</v>
      </c>
      <c r="J144" s="52" t="b">
        <f>IF(OR(INDEX(OHZ_HAZ_CONSIGNMENT,137,1)&lt;&gt;"",INDEX(OHZ_HAZ_TRANSDOCID,137,1)&lt;&gt;"",INDEX(OHZ_HAZ_PORTOFLOADING,137,1)&lt;&gt;"",INDEX(OHZ_HAZ_PORTOFDISCHARGE,137,1)&lt;&gt;"",INDEX(OHZ_HAZ_DPGREF,137,1)&lt;&gt;"",INDEX(OHZ_HAZ_DGCLASSIFI,137,1)&lt;&gt;"",INDEX(OHZ_HAZ_TEXTUALREF,137,1)&lt;&gt;"",INDEX(OHZ_HAZ_IMOHAZARDC,137,1)&lt;&gt;"",INDEX(OHZ_HAZ_UNNUMBER,137,1)&lt;&gt;"",INDEX(OHZ_HAZ_TOTAMOUNT,137,1)&lt;&gt;"",INDEX(OHZ_HAZ_PACKINGGRO,137,1)&lt;&gt;"",INDEX(OHZ_HAZ_FLASHPOINT,137,1)&lt;&gt;"",INDEX(OHZ_HAZ_MARPOLCODE,137,1)&lt;&gt;"",INDEX(OHZ_HAZ_PACTYPE,137,1)&lt;&gt;"",INDEX(OHZ_HAZ_TOTALPACKA,137,1)&lt;&gt;"",INDEX(OHZ_HAZ_ADDITIONAL,137,1)&lt;&gt;"",INDEX(OHZ_HAZ_EMS,137,1)&lt;&gt;"",INDEX(OHZ_HAZ_SUBSIDIARY,137,1)&lt;&gt;"",INDEX(OHZ_HAZ_UNITTYPE,137,1)&lt;&gt;"",INDEX(OHZ_HAZ_TEUID,137,1)&lt;&gt;"",INDEX(OHZ_HAZ_LOCATION,137,1)&lt;&gt;"",INDEX(OHZ_HAZ_PACKAGES,137,1)&lt;&gt;"",INDEX(OHZ_HAZ_AMOUNT,137,1)&lt;&gt;"",),IF(OR(INDEX(OHZ_HAZ_DGCLASSIFI,137,1)="",INDEX(OHZ_HAZ_TEXTUALREF,137,1)="",INDEX(OHZ_HAZ_TOTAMOUNT,137,1)="",INDEX(OHZ_HAZ_DPGREF,137,1)="",INDEX(OHZ_HAZ_CONSIGNMENT,137,1)="",),FALSE,TRUE),TRUE)</f>
        <v>1</v>
      </c>
      <c r="K144" s="237" t="str">
        <f t="shared" si="6"/>
        <v>Row 137 - All mandatory fields must be given</v>
      </c>
      <c r="L144" s="236" t="s">
        <v>1853</v>
      </c>
      <c r="S144" s="52"/>
      <c r="T144" s="52" t="s">
        <v>2229</v>
      </c>
      <c r="V144" s="52"/>
    </row>
    <row r="145" spans="6:22">
      <c r="F145" s="236" t="s">
        <v>1853</v>
      </c>
      <c r="G145" s="250" t="b">
        <f>IF(OR(INDEX(IHZ_HAZ_CONSIGNMENT,138,1)&lt;&gt;"",INDEX(IHZ_HAZ_TRANSDOCID,138,1)&lt;&gt;"",INDEX(IHZ_HAZ_PORTOFLOADING,138,1)&lt;&gt;"",INDEX(IHZ_HAZ_PORTOFDISCHARGE,138,1)&lt;&gt;"",INDEX(IHZ_HAZ_DPGREF,138,1)&lt;&gt;"",INDEX(IHZ_HAZ_DGCLASSIFI,138,1)&lt;&gt;"",INDEX(IHZ_HAZ_TEXTUALREF,138,1)&lt;&gt;"",INDEX(IHZ_HAZ_IMOHAZARDC,138,1)&lt;&gt;"",INDEX(IHZ_HAZ_UNNUMBER,138,1)&lt;&gt;"",INDEX(IHZ_HAZ_TOTAMOUNT,138,1)&lt;&gt;"",INDEX(IHZ_HAZ_PACKINGGRO,138,1)&lt;&gt;"",INDEX(IHZ_HAZ_FLASHPOINT,138,1)&lt;&gt;"",INDEX(IHZ_HAZ_MARPOLCODE,138,1)&lt;&gt;"",INDEX(IHZ_HAZ_PACTYPE,138,1)&lt;&gt;"",INDEX(IHZ_HAZ_TOTALPACKA,138,1)&lt;&gt;"",INDEX(IHZ_HAZ_ADDITIONAL,138,1)&lt;&gt;"",INDEX(IHZ_HAZ_EMS,138,1)&lt;&gt;"",INDEX(IHZ_HAZ_SUBSIDIARY,138,1)&lt;&gt;"",INDEX(IHZ_HAZ_UNITTYPE,138,1)&lt;&gt;"",INDEX(IHZ_HAZ_TEUID,138,1)&lt;&gt;"",INDEX(IHZ_HAZ_LOCATION,138,1)&lt;&gt;"",INDEX(IHZ_HAZ_PACKAGES,138,1)&lt;&gt;"",INDEX(IHZ_HAZ_AMOUNT,138,1)&lt;&gt;"",),IF(OR(INDEX(IHZ_HAZ_DGCLASSIFI,138,1)="",INDEX(IHZ_HAZ_TEXTUALREF,138,1)="",INDEX(IHZ_HAZ_TOTAMOUNT,138,1)="",INDEX(IHZ_HAZ_DPGREF,138,1)="",INDEX(IHZ_HAZ_CONSIGNMENT,138,1)="",),FALSE,TRUE),TRUE)</f>
        <v>1</v>
      </c>
      <c r="H145" s="237" t="str">
        <f t="shared" si="5"/>
        <v>Row 138 - All mandatory fields must be given</v>
      </c>
      <c r="I145" s="236" t="s">
        <v>1853</v>
      </c>
      <c r="J145" s="52" t="b">
        <f>IF(OR(INDEX(OHZ_HAZ_CONSIGNMENT,138,1)&lt;&gt;"",INDEX(OHZ_HAZ_TRANSDOCID,138,1)&lt;&gt;"",INDEX(OHZ_HAZ_PORTOFLOADING,138,1)&lt;&gt;"",INDEX(OHZ_HAZ_PORTOFDISCHARGE,138,1)&lt;&gt;"",INDEX(OHZ_HAZ_DPGREF,138,1)&lt;&gt;"",INDEX(OHZ_HAZ_DGCLASSIFI,138,1)&lt;&gt;"",INDEX(OHZ_HAZ_TEXTUALREF,138,1)&lt;&gt;"",INDEX(OHZ_HAZ_IMOHAZARDC,138,1)&lt;&gt;"",INDEX(OHZ_HAZ_UNNUMBER,138,1)&lt;&gt;"",INDEX(OHZ_HAZ_TOTAMOUNT,138,1)&lt;&gt;"",INDEX(OHZ_HAZ_PACKINGGRO,138,1)&lt;&gt;"",INDEX(OHZ_HAZ_FLASHPOINT,138,1)&lt;&gt;"",INDEX(OHZ_HAZ_MARPOLCODE,138,1)&lt;&gt;"",INDEX(OHZ_HAZ_PACTYPE,138,1)&lt;&gt;"",INDEX(OHZ_HAZ_TOTALPACKA,138,1)&lt;&gt;"",INDEX(OHZ_HAZ_ADDITIONAL,138,1)&lt;&gt;"",INDEX(OHZ_HAZ_EMS,138,1)&lt;&gt;"",INDEX(OHZ_HAZ_SUBSIDIARY,138,1)&lt;&gt;"",INDEX(OHZ_HAZ_UNITTYPE,138,1)&lt;&gt;"",INDEX(OHZ_HAZ_TEUID,138,1)&lt;&gt;"",INDEX(OHZ_HAZ_LOCATION,138,1)&lt;&gt;"",INDEX(OHZ_HAZ_PACKAGES,138,1)&lt;&gt;"",INDEX(OHZ_HAZ_AMOUNT,138,1)&lt;&gt;"",),IF(OR(INDEX(OHZ_HAZ_DGCLASSIFI,138,1)="",INDEX(OHZ_HAZ_TEXTUALREF,138,1)="",INDEX(OHZ_HAZ_TOTAMOUNT,138,1)="",INDEX(OHZ_HAZ_DPGREF,138,1)="",INDEX(OHZ_HAZ_CONSIGNMENT,138,1)="",),FALSE,TRUE),TRUE)</f>
        <v>1</v>
      </c>
      <c r="K145" s="237" t="str">
        <f t="shared" si="6"/>
        <v>Row 138 - All mandatory fields must be given</v>
      </c>
      <c r="L145" s="236" t="s">
        <v>1853</v>
      </c>
      <c r="S145" s="52"/>
      <c r="T145" s="52" t="s">
        <v>2230</v>
      </c>
      <c r="V145" s="52"/>
    </row>
    <row r="146" spans="6:22">
      <c r="F146" s="236" t="s">
        <v>1853</v>
      </c>
      <c r="G146" s="250" t="b">
        <f>IF(OR(INDEX(IHZ_HAZ_CONSIGNMENT,139,1)&lt;&gt;"",INDEX(IHZ_HAZ_TRANSDOCID,139,1)&lt;&gt;"",INDEX(IHZ_HAZ_PORTOFLOADING,139,1)&lt;&gt;"",INDEX(IHZ_HAZ_PORTOFDISCHARGE,139,1)&lt;&gt;"",INDEX(IHZ_HAZ_DPGREF,139,1)&lt;&gt;"",INDEX(IHZ_HAZ_DGCLASSIFI,139,1)&lt;&gt;"",INDEX(IHZ_HAZ_TEXTUALREF,139,1)&lt;&gt;"",INDEX(IHZ_HAZ_IMOHAZARDC,139,1)&lt;&gt;"",INDEX(IHZ_HAZ_UNNUMBER,139,1)&lt;&gt;"",INDEX(IHZ_HAZ_TOTAMOUNT,139,1)&lt;&gt;"",INDEX(IHZ_HAZ_PACKINGGRO,139,1)&lt;&gt;"",INDEX(IHZ_HAZ_FLASHPOINT,139,1)&lt;&gt;"",INDEX(IHZ_HAZ_MARPOLCODE,139,1)&lt;&gt;"",INDEX(IHZ_HAZ_PACTYPE,139,1)&lt;&gt;"",INDEX(IHZ_HAZ_TOTALPACKA,139,1)&lt;&gt;"",INDEX(IHZ_HAZ_ADDITIONAL,139,1)&lt;&gt;"",INDEX(IHZ_HAZ_EMS,139,1)&lt;&gt;"",INDEX(IHZ_HAZ_SUBSIDIARY,139,1)&lt;&gt;"",INDEX(IHZ_HAZ_UNITTYPE,139,1)&lt;&gt;"",INDEX(IHZ_HAZ_TEUID,139,1)&lt;&gt;"",INDEX(IHZ_HAZ_LOCATION,139,1)&lt;&gt;"",INDEX(IHZ_HAZ_PACKAGES,139,1)&lt;&gt;"",INDEX(IHZ_HAZ_AMOUNT,139,1)&lt;&gt;"",),IF(OR(INDEX(IHZ_HAZ_DGCLASSIFI,139,1)="",INDEX(IHZ_HAZ_TEXTUALREF,139,1)="",INDEX(IHZ_HAZ_TOTAMOUNT,139,1)="",INDEX(IHZ_HAZ_DPGREF,139,1)="",INDEX(IHZ_HAZ_CONSIGNMENT,139,1)="",),FALSE,TRUE),TRUE)</f>
        <v>1</v>
      </c>
      <c r="H146" s="237" t="str">
        <f t="shared" si="5"/>
        <v>Row 139 - All mandatory fields must be given</v>
      </c>
      <c r="I146" s="236" t="s">
        <v>1853</v>
      </c>
      <c r="J146" s="52" t="b">
        <f>IF(OR(INDEX(OHZ_HAZ_CONSIGNMENT,139,1)&lt;&gt;"",INDEX(OHZ_HAZ_TRANSDOCID,139,1)&lt;&gt;"",INDEX(OHZ_HAZ_PORTOFLOADING,139,1)&lt;&gt;"",INDEX(OHZ_HAZ_PORTOFDISCHARGE,139,1)&lt;&gt;"",INDEX(OHZ_HAZ_DPGREF,139,1)&lt;&gt;"",INDEX(OHZ_HAZ_DGCLASSIFI,139,1)&lt;&gt;"",INDEX(OHZ_HAZ_TEXTUALREF,139,1)&lt;&gt;"",INDEX(OHZ_HAZ_IMOHAZARDC,139,1)&lt;&gt;"",INDEX(OHZ_HAZ_UNNUMBER,139,1)&lt;&gt;"",INDEX(OHZ_HAZ_TOTAMOUNT,139,1)&lt;&gt;"",INDEX(OHZ_HAZ_PACKINGGRO,139,1)&lt;&gt;"",INDEX(OHZ_HAZ_FLASHPOINT,139,1)&lt;&gt;"",INDEX(OHZ_HAZ_MARPOLCODE,139,1)&lt;&gt;"",INDEX(OHZ_HAZ_PACTYPE,139,1)&lt;&gt;"",INDEX(OHZ_HAZ_TOTALPACKA,139,1)&lt;&gt;"",INDEX(OHZ_HAZ_ADDITIONAL,139,1)&lt;&gt;"",INDEX(OHZ_HAZ_EMS,139,1)&lt;&gt;"",INDEX(OHZ_HAZ_SUBSIDIARY,139,1)&lt;&gt;"",INDEX(OHZ_HAZ_UNITTYPE,139,1)&lt;&gt;"",INDEX(OHZ_HAZ_TEUID,139,1)&lt;&gt;"",INDEX(OHZ_HAZ_LOCATION,139,1)&lt;&gt;"",INDEX(OHZ_HAZ_PACKAGES,139,1)&lt;&gt;"",INDEX(OHZ_HAZ_AMOUNT,139,1)&lt;&gt;"",),IF(OR(INDEX(OHZ_HAZ_DGCLASSIFI,139,1)="",INDEX(OHZ_HAZ_TEXTUALREF,139,1)="",INDEX(OHZ_HAZ_TOTAMOUNT,139,1)="",INDEX(OHZ_HAZ_DPGREF,139,1)="",INDEX(OHZ_HAZ_CONSIGNMENT,139,1)="",),FALSE,TRUE),TRUE)</f>
        <v>1</v>
      </c>
      <c r="K146" s="237" t="str">
        <f t="shared" si="6"/>
        <v>Row 139 - All mandatory fields must be given</v>
      </c>
      <c r="L146" s="236" t="s">
        <v>1853</v>
      </c>
      <c r="S146" s="52"/>
      <c r="T146" s="52" t="s">
        <v>2231</v>
      </c>
      <c r="V146" s="52"/>
    </row>
    <row r="147" spans="6:22">
      <c r="F147" s="236" t="s">
        <v>1853</v>
      </c>
      <c r="G147" s="250" t="b">
        <f>IF(OR(INDEX(IHZ_HAZ_CONSIGNMENT,140,1)&lt;&gt;"",INDEX(IHZ_HAZ_TRANSDOCID,140,1)&lt;&gt;"",INDEX(IHZ_HAZ_PORTOFLOADING,140,1)&lt;&gt;"",INDEX(IHZ_HAZ_PORTOFDISCHARGE,140,1)&lt;&gt;"",INDEX(IHZ_HAZ_DPGREF,140,1)&lt;&gt;"",INDEX(IHZ_HAZ_DGCLASSIFI,140,1)&lt;&gt;"",INDEX(IHZ_HAZ_TEXTUALREF,140,1)&lt;&gt;"",INDEX(IHZ_HAZ_IMOHAZARDC,140,1)&lt;&gt;"",INDEX(IHZ_HAZ_UNNUMBER,140,1)&lt;&gt;"",INDEX(IHZ_HAZ_TOTAMOUNT,140,1)&lt;&gt;"",INDEX(IHZ_HAZ_PACKINGGRO,140,1)&lt;&gt;"",INDEX(IHZ_HAZ_FLASHPOINT,140,1)&lt;&gt;"",INDEX(IHZ_HAZ_MARPOLCODE,140,1)&lt;&gt;"",INDEX(IHZ_HAZ_PACTYPE,140,1)&lt;&gt;"",INDEX(IHZ_HAZ_TOTALPACKA,140,1)&lt;&gt;"",INDEX(IHZ_HAZ_ADDITIONAL,140,1)&lt;&gt;"",INDEX(IHZ_HAZ_EMS,140,1)&lt;&gt;"",INDEX(IHZ_HAZ_SUBSIDIARY,140,1)&lt;&gt;"",INDEX(IHZ_HAZ_UNITTYPE,140,1)&lt;&gt;"",INDEX(IHZ_HAZ_TEUID,140,1)&lt;&gt;"",INDEX(IHZ_HAZ_LOCATION,140,1)&lt;&gt;"",INDEX(IHZ_HAZ_PACKAGES,140,1)&lt;&gt;"",INDEX(IHZ_HAZ_AMOUNT,140,1)&lt;&gt;"",),IF(OR(INDEX(IHZ_HAZ_DGCLASSIFI,140,1)="",INDEX(IHZ_HAZ_TEXTUALREF,140,1)="",INDEX(IHZ_HAZ_TOTAMOUNT,140,1)="",INDEX(IHZ_HAZ_DPGREF,140,1)="",INDEX(IHZ_HAZ_CONSIGNMENT,140,1)="",),FALSE,TRUE),TRUE)</f>
        <v>1</v>
      </c>
      <c r="H147" s="237" t="str">
        <f t="shared" si="5"/>
        <v>Row 140 - All mandatory fields must be given</v>
      </c>
      <c r="I147" s="236" t="s">
        <v>1853</v>
      </c>
      <c r="J147" s="52" t="b">
        <f>IF(OR(INDEX(OHZ_HAZ_CONSIGNMENT,140,1)&lt;&gt;"",INDEX(OHZ_HAZ_TRANSDOCID,140,1)&lt;&gt;"",INDEX(OHZ_HAZ_PORTOFLOADING,140,1)&lt;&gt;"",INDEX(OHZ_HAZ_PORTOFDISCHARGE,140,1)&lt;&gt;"",INDEX(OHZ_HAZ_DPGREF,140,1)&lt;&gt;"",INDEX(OHZ_HAZ_DGCLASSIFI,140,1)&lt;&gt;"",INDEX(OHZ_HAZ_TEXTUALREF,140,1)&lt;&gt;"",INDEX(OHZ_HAZ_IMOHAZARDC,140,1)&lt;&gt;"",INDEX(OHZ_HAZ_UNNUMBER,140,1)&lt;&gt;"",INDEX(OHZ_HAZ_TOTAMOUNT,140,1)&lt;&gt;"",INDEX(OHZ_HAZ_PACKINGGRO,140,1)&lt;&gt;"",INDEX(OHZ_HAZ_FLASHPOINT,140,1)&lt;&gt;"",INDEX(OHZ_HAZ_MARPOLCODE,140,1)&lt;&gt;"",INDEX(OHZ_HAZ_PACTYPE,140,1)&lt;&gt;"",INDEX(OHZ_HAZ_TOTALPACKA,140,1)&lt;&gt;"",INDEX(OHZ_HAZ_ADDITIONAL,140,1)&lt;&gt;"",INDEX(OHZ_HAZ_EMS,140,1)&lt;&gt;"",INDEX(OHZ_HAZ_SUBSIDIARY,140,1)&lt;&gt;"",INDEX(OHZ_HAZ_UNITTYPE,140,1)&lt;&gt;"",INDEX(OHZ_HAZ_TEUID,140,1)&lt;&gt;"",INDEX(OHZ_HAZ_LOCATION,140,1)&lt;&gt;"",INDEX(OHZ_HAZ_PACKAGES,140,1)&lt;&gt;"",INDEX(OHZ_HAZ_AMOUNT,140,1)&lt;&gt;"",),IF(OR(INDEX(OHZ_HAZ_DGCLASSIFI,140,1)="",INDEX(OHZ_HAZ_TEXTUALREF,140,1)="",INDEX(OHZ_HAZ_TOTAMOUNT,140,1)="",INDEX(OHZ_HAZ_DPGREF,140,1)="",INDEX(OHZ_HAZ_CONSIGNMENT,140,1)="",),FALSE,TRUE),TRUE)</f>
        <v>1</v>
      </c>
      <c r="K147" s="237" t="str">
        <f t="shared" si="6"/>
        <v>Row 140 - All mandatory fields must be given</v>
      </c>
      <c r="L147" s="236" t="s">
        <v>1853</v>
      </c>
      <c r="S147" s="52"/>
      <c r="T147" s="52" t="s">
        <v>2232</v>
      </c>
      <c r="V147" s="52"/>
    </row>
    <row r="148" spans="6:22">
      <c r="F148" s="236" t="s">
        <v>1853</v>
      </c>
      <c r="G148" s="250" t="b">
        <f>IF(OR(INDEX(IHZ_HAZ_CONSIGNMENT,141,1)&lt;&gt;"",INDEX(IHZ_HAZ_TRANSDOCID,141,1)&lt;&gt;"",INDEX(IHZ_HAZ_PORTOFLOADING,141,1)&lt;&gt;"",INDEX(IHZ_HAZ_PORTOFDISCHARGE,141,1)&lt;&gt;"",INDEX(IHZ_HAZ_DPGREF,141,1)&lt;&gt;"",INDEX(IHZ_HAZ_DGCLASSIFI,141,1)&lt;&gt;"",INDEX(IHZ_HAZ_TEXTUALREF,141,1)&lt;&gt;"",INDEX(IHZ_HAZ_IMOHAZARDC,141,1)&lt;&gt;"",INDEX(IHZ_HAZ_UNNUMBER,141,1)&lt;&gt;"",INDEX(IHZ_HAZ_TOTAMOUNT,141,1)&lt;&gt;"",INDEX(IHZ_HAZ_PACKINGGRO,141,1)&lt;&gt;"",INDEX(IHZ_HAZ_FLASHPOINT,141,1)&lt;&gt;"",INDEX(IHZ_HAZ_MARPOLCODE,141,1)&lt;&gt;"",INDEX(IHZ_HAZ_PACTYPE,141,1)&lt;&gt;"",INDEX(IHZ_HAZ_TOTALPACKA,141,1)&lt;&gt;"",INDEX(IHZ_HAZ_ADDITIONAL,141,1)&lt;&gt;"",INDEX(IHZ_HAZ_EMS,141,1)&lt;&gt;"",INDEX(IHZ_HAZ_SUBSIDIARY,141,1)&lt;&gt;"",INDEX(IHZ_HAZ_UNITTYPE,141,1)&lt;&gt;"",INDEX(IHZ_HAZ_TEUID,141,1)&lt;&gt;"",INDEX(IHZ_HAZ_LOCATION,141,1)&lt;&gt;"",INDEX(IHZ_HAZ_PACKAGES,141,1)&lt;&gt;"",INDEX(IHZ_HAZ_AMOUNT,141,1)&lt;&gt;"",),IF(OR(INDEX(IHZ_HAZ_DGCLASSIFI,141,1)="",INDEX(IHZ_HAZ_TEXTUALREF,141,1)="",INDEX(IHZ_HAZ_TOTAMOUNT,141,1)="",INDEX(IHZ_HAZ_DPGREF,141,1)="",INDEX(IHZ_HAZ_CONSIGNMENT,141,1)="",),FALSE,TRUE),TRUE)</f>
        <v>1</v>
      </c>
      <c r="H148" s="237" t="str">
        <f t="shared" si="5"/>
        <v>Row 141 - All mandatory fields must be given</v>
      </c>
      <c r="I148" s="236" t="s">
        <v>1853</v>
      </c>
      <c r="J148" s="52" t="b">
        <f>IF(OR(INDEX(OHZ_HAZ_CONSIGNMENT,141,1)&lt;&gt;"",INDEX(OHZ_HAZ_TRANSDOCID,141,1)&lt;&gt;"",INDEX(OHZ_HAZ_PORTOFLOADING,141,1)&lt;&gt;"",INDEX(OHZ_HAZ_PORTOFDISCHARGE,141,1)&lt;&gt;"",INDEX(OHZ_HAZ_DPGREF,141,1)&lt;&gt;"",INDEX(OHZ_HAZ_DGCLASSIFI,141,1)&lt;&gt;"",INDEX(OHZ_HAZ_TEXTUALREF,141,1)&lt;&gt;"",INDEX(OHZ_HAZ_IMOHAZARDC,141,1)&lt;&gt;"",INDEX(OHZ_HAZ_UNNUMBER,141,1)&lt;&gt;"",INDEX(OHZ_HAZ_TOTAMOUNT,141,1)&lt;&gt;"",INDEX(OHZ_HAZ_PACKINGGRO,141,1)&lt;&gt;"",INDEX(OHZ_HAZ_FLASHPOINT,141,1)&lt;&gt;"",INDEX(OHZ_HAZ_MARPOLCODE,141,1)&lt;&gt;"",INDEX(OHZ_HAZ_PACTYPE,141,1)&lt;&gt;"",INDEX(OHZ_HAZ_TOTALPACKA,141,1)&lt;&gt;"",INDEX(OHZ_HAZ_ADDITIONAL,141,1)&lt;&gt;"",INDEX(OHZ_HAZ_EMS,141,1)&lt;&gt;"",INDEX(OHZ_HAZ_SUBSIDIARY,141,1)&lt;&gt;"",INDEX(OHZ_HAZ_UNITTYPE,141,1)&lt;&gt;"",INDEX(OHZ_HAZ_TEUID,141,1)&lt;&gt;"",INDEX(OHZ_HAZ_LOCATION,141,1)&lt;&gt;"",INDEX(OHZ_HAZ_PACKAGES,141,1)&lt;&gt;"",INDEX(OHZ_HAZ_AMOUNT,141,1)&lt;&gt;"",),IF(OR(INDEX(OHZ_HAZ_DGCLASSIFI,141,1)="",INDEX(OHZ_HAZ_TEXTUALREF,141,1)="",INDEX(OHZ_HAZ_TOTAMOUNT,141,1)="",INDEX(OHZ_HAZ_DPGREF,141,1)="",INDEX(OHZ_HAZ_CONSIGNMENT,141,1)="",),FALSE,TRUE),TRUE)</f>
        <v>1</v>
      </c>
      <c r="K148" s="237" t="str">
        <f t="shared" si="6"/>
        <v>Row 141 - All mandatory fields must be given</v>
      </c>
      <c r="L148" s="236" t="s">
        <v>1853</v>
      </c>
      <c r="S148" s="52"/>
      <c r="T148" s="52" t="s">
        <v>2233</v>
      </c>
      <c r="V148" s="52"/>
    </row>
    <row r="149" spans="6:22">
      <c r="F149" s="236" t="s">
        <v>1853</v>
      </c>
      <c r="G149" s="250" t="b">
        <f>IF(OR(INDEX(IHZ_HAZ_CONSIGNMENT,142,1)&lt;&gt;"",INDEX(IHZ_HAZ_TRANSDOCID,142,1)&lt;&gt;"",INDEX(IHZ_HAZ_PORTOFLOADING,142,1)&lt;&gt;"",INDEX(IHZ_HAZ_PORTOFDISCHARGE,142,1)&lt;&gt;"",INDEX(IHZ_HAZ_DPGREF,142,1)&lt;&gt;"",INDEX(IHZ_HAZ_DGCLASSIFI,142,1)&lt;&gt;"",INDEX(IHZ_HAZ_TEXTUALREF,142,1)&lt;&gt;"",INDEX(IHZ_HAZ_IMOHAZARDC,142,1)&lt;&gt;"",INDEX(IHZ_HAZ_UNNUMBER,142,1)&lt;&gt;"",INDEX(IHZ_HAZ_TOTAMOUNT,142,1)&lt;&gt;"",INDEX(IHZ_HAZ_PACKINGGRO,142,1)&lt;&gt;"",INDEX(IHZ_HAZ_FLASHPOINT,142,1)&lt;&gt;"",INDEX(IHZ_HAZ_MARPOLCODE,142,1)&lt;&gt;"",INDEX(IHZ_HAZ_PACTYPE,142,1)&lt;&gt;"",INDEX(IHZ_HAZ_TOTALPACKA,142,1)&lt;&gt;"",INDEX(IHZ_HAZ_ADDITIONAL,142,1)&lt;&gt;"",INDEX(IHZ_HAZ_EMS,142,1)&lt;&gt;"",INDEX(IHZ_HAZ_SUBSIDIARY,142,1)&lt;&gt;"",INDEX(IHZ_HAZ_UNITTYPE,142,1)&lt;&gt;"",INDEX(IHZ_HAZ_TEUID,142,1)&lt;&gt;"",INDEX(IHZ_HAZ_LOCATION,142,1)&lt;&gt;"",INDEX(IHZ_HAZ_PACKAGES,142,1)&lt;&gt;"",INDEX(IHZ_HAZ_AMOUNT,142,1)&lt;&gt;"",),IF(OR(INDEX(IHZ_HAZ_DGCLASSIFI,142,1)="",INDEX(IHZ_HAZ_TEXTUALREF,142,1)="",INDEX(IHZ_HAZ_TOTAMOUNT,142,1)="",INDEX(IHZ_HAZ_DPGREF,142,1)="",INDEX(IHZ_HAZ_CONSIGNMENT,142,1)="",),FALSE,TRUE),TRUE)</f>
        <v>1</v>
      </c>
      <c r="H149" s="237" t="str">
        <f t="shared" si="5"/>
        <v>Row 142 - All mandatory fields must be given</v>
      </c>
      <c r="I149" s="236" t="s">
        <v>1853</v>
      </c>
      <c r="J149" s="52" t="b">
        <f>IF(OR(INDEX(OHZ_HAZ_CONSIGNMENT,142,1)&lt;&gt;"",INDEX(OHZ_HAZ_TRANSDOCID,142,1)&lt;&gt;"",INDEX(OHZ_HAZ_PORTOFLOADING,142,1)&lt;&gt;"",INDEX(OHZ_HAZ_PORTOFDISCHARGE,142,1)&lt;&gt;"",INDEX(OHZ_HAZ_DPGREF,142,1)&lt;&gt;"",INDEX(OHZ_HAZ_DGCLASSIFI,142,1)&lt;&gt;"",INDEX(OHZ_HAZ_TEXTUALREF,142,1)&lt;&gt;"",INDEX(OHZ_HAZ_IMOHAZARDC,142,1)&lt;&gt;"",INDEX(OHZ_HAZ_UNNUMBER,142,1)&lt;&gt;"",INDEX(OHZ_HAZ_TOTAMOUNT,142,1)&lt;&gt;"",INDEX(OHZ_HAZ_PACKINGGRO,142,1)&lt;&gt;"",INDEX(OHZ_HAZ_FLASHPOINT,142,1)&lt;&gt;"",INDEX(OHZ_HAZ_MARPOLCODE,142,1)&lt;&gt;"",INDEX(OHZ_HAZ_PACTYPE,142,1)&lt;&gt;"",INDEX(OHZ_HAZ_TOTALPACKA,142,1)&lt;&gt;"",INDEX(OHZ_HAZ_ADDITIONAL,142,1)&lt;&gt;"",INDEX(OHZ_HAZ_EMS,142,1)&lt;&gt;"",INDEX(OHZ_HAZ_SUBSIDIARY,142,1)&lt;&gt;"",INDEX(OHZ_HAZ_UNITTYPE,142,1)&lt;&gt;"",INDEX(OHZ_HAZ_TEUID,142,1)&lt;&gt;"",INDEX(OHZ_HAZ_LOCATION,142,1)&lt;&gt;"",INDEX(OHZ_HAZ_PACKAGES,142,1)&lt;&gt;"",INDEX(OHZ_HAZ_AMOUNT,142,1)&lt;&gt;"",),IF(OR(INDEX(OHZ_HAZ_DGCLASSIFI,142,1)="",INDEX(OHZ_HAZ_TEXTUALREF,142,1)="",INDEX(OHZ_HAZ_TOTAMOUNT,142,1)="",INDEX(OHZ_HAZ_DPGREF,142,1)="",INDEX(OHZ_HAZ_CONSIGNMENT,142,1)="",),FALSE,TRUE),TRUE)</f>
        <v>1</v>
      </c>
      <c r="K149" s="237" t="str">
        <f t="shared" si="6"/>
        <v>Row 142 - All mandatory fields must be given</v>
      </c>
      <c r="L149" s="236" t="s">
        <v>1853</v>
      </c>
      <c r="S149" s="52"/>
      <c r="T149" s="52" t="s">
        <v>2234</v>
      </c>
      <c r="V149" s="52"/>
    </row>
    <row r="150" spans="6:22">
      <c r="F150" s="236" t="s">
        <v>1853</v>
      </c>
      <c r="G150" s="250" t="b">
        <f>IF(OR(INDEX(IHZ_HAZ_CONSIGNMENT,143,1)&lt;&gt;"",INDEX(IHZ_HAZ_TRANSDOCID,143,1)&lt;&gt;"",INDEX(IHZ_HAZ_PORTOFLOADING,143,1)&lt;&gt;"",INDEX(IHZ_HAZ_PORTOFDISCHARGE,143,1)&lt;&gt;"",INDEX(IHZ_HAZ_DPGREF,143,1)&lt;&gt;"",INDEX(IHZ_HAZ_DGCLASSIFI,143,1)&lt;&gt;"",INDEX(IHZ_HAZ_TEXTUALREF,143,1)&lt;&gt;"",INDEX(IHZ_HAZ_IMOHAZARDC,143,1)&lt;&gt;"",INDEX(IHZ_HAZ_UNNUMBER,143,1)&lt;&gt;"",INDEX(IHZ_HAZ_TOTAMOUNT,143,1)&lt;&gt;"",INDEX(IHZ_HAZ_PACKINGGRO,143,1)&lt;&gt;"",INDEX(IHZ_HAZ_FLASHPOINT,143,1)&lt;&gt;"",INDEX(IHZ_HAZ_MARPOLCODE,143,1)&lt;&gt;"",INDEX(IHZ_HAZ_PACTYPE,143,1)&lt;&gt;"",INDEX(IHZ_HAZ_TOTALPACKA,143,1)&lt;&gt;"",INDEX(IHZ_HAZ_ADDITIONAL,143,1)&lt;&gt;"",INDEX(IHZ_HAZ_EMS,143,1)&lt;&gt;"",INDEX(IHZ_HAZ_SUBSIDIARY,143,1)&lt;&gt;"",INDEX(IHZ_HAZ_UNITTYPE,143,1)&lt;&gt;"",INDEX(IHZ_HAZ_TEUID,143,1)&lt;&gt;"",INDEX(IHZ_HAZ_LOCATION,143,1)&lt;&gt;"",INDEX(IHZ_HAZ_PACKAGES,143,1)&lt;&gt;"",INDEX(IHZ_HAZ_AMOUNT,143,1)&lt;&gt;"",),IF(OR(INDEX(IHZ_HAZ_DGCLASSIFI,143,1)="",INDEX(IHZ_HAZ_TEXTUALREF,143,1)="",INDEX(IHZ_HAZ_TOTAMOUNT,143,1)="",INDEX(IHZ_HAZ_DPGREF,143,1)="",INDEX(IHZ_HAZ_CONSIGNMENT,143,1)="",),FALSE,TRUE),TRUE)</f>
        <v>1</v>
      </c>
      <c r="H150" s="237" t="str">
        <f t="shared" si="5"/>
        <v>Row 143 - All mandatory fields must be given</v>
      </c>
      <c r="I150" s="236" t="s">
        <v>1853</v>
      </c>
      <c r="J150" s="52" t="b">
        <f>IF(OR(INDEX(OHZ_HAZ_CONSIGNMENT,143,1)&lt;&gt;"",INDEX(OHZ_HAZ_TRANSDOCID,143,1)&lt;&gt;"",INDEX(OHZ_HAZ_PORTOFLOADING,143,1)&lt;&gt;"",INDEX(OHZ_HAZ_PORTOFDISCHARGE,143,1)&lt;&gt;"",INDEX(OHZ_HAZ_DPGREF,143,1)&lt;&gt;"",INDEX(OHZ_HAZ_DGCLASSIFI,143,1)&lt;&gt;"",INDEX(OHZ_HAZ_TEXTUALREF,143,1)&lt;&gt;"",INDEX(OHZ_HAZ_IMOHAZARDC,143,1)&lt;&gt;"",INDEX(OHZ_HAZ_UNNUMBER,143,1)&lt;&gt;"",INDEX(OHZ_HAZ_TOTAMOUNT,143,1)&lt;&gt;"",INDEX(OHZ_HAZ_PACKINGGRO,143,1)&lt;&gt;"",INDEX(OHZ_HAZ_FLASHPOINT,143,1)&lt;&gt;"",INDEX(OHZ_HAZ_MARPOLCODE,143,1)&lt;&gt;"",INDEX(OHZ_HAZ_PACTYPE,143,1)&lt;&gt;"",INDEX(OHZ_HAZ_TOTALPACKA,143,1)&lt;&gt;"",INDEX(OHZ_HAZ_ADDITIONAL,143,1)&lt;&gt;"",INDEX(OHZ_HAZ_EMS,143,1)&lt;&gt;"",INDEX(OHZ_HAZ_SUBSIDIARY,143,1)&lt;&gt;"",INDEX(OHZ_HAZ_UNITTYPE,143,1)&lt;&gt;"",INDEX(OHZ_HAZ_TEUID,143,1)&lt;&gt;"",INDEX(OHZ_HAZ_LOCATION,143,1)&lt;&gt;"",INDEX(OHZ_HAZ_PACKAGES,143,1)&lt;&gt;"",INDEX(OHZ_HAZ_AMOUNT,143,1)&lt;&gt;"",),IF(OR(INDEX(OHZ_HAZ_DGCLASSIFI,143,1)="",INDEX(OHZ_HAZ_TEXTUALREF,143,1)="",INDEX(OHZ_HAZ_TOTAMOUNT,143,1)="",INDEX(OHZ_HAZ_DPGREF,143,1)="",INDEX(OHZ_HAZ_CONSIGNMENT,143,1)="",),FALSE,TRUE),TRUE)</f>
        <v>1</v>
      </c>
      <c r="K150" s="237" t="str">
        <f t="shared" si="6"/>
        <v>Row 143 - All mandatory fields must be given</v>
      </c>
      <c r="L150" s="236" t="s">
        <v>1853</v>
      </c>
      <c r="S150" s="52"/>
      <c r="T150" s="52" t="s">
        <v>2235</v>
      </c>
      <c r="V150" s="52"/>
    </row>
    <row r="151" spans="6:22">
      <c r="F151" s="236" t="s">
        <v>1853</v>
      </c>
      <c r="G151" s="250" t="b">
        <f>IF(OR(INDEX(IHZ_HAZ_CONSIGNMENT,144,1)&lt;&gt;"",INDEX(IHZ_HAZ_TRANSDOCID,144,1)&lt;&gt;"",INDEX(IHZ_HAZ_PORTOFLOADING,144,1)&lt;&gt;"",INDEX(IHZ_HAZ_PORTOFDISCHARGE,144,1)&lt;&gt;"",INDEX(IHZ_HAZ_DPGREF,144,1)&lt;&gt;"",INDEX(IHZ_HAZ_DGCLASSIFI,144,1)&lt;&gt;"",INDEX(IHZ_HAZ_TEXTUALREF,144,1)&lt;&gt;"",INDEX(IHZ_HAZ_IMOHAZARDC,144,1)&lt;&gt;"",INDEX(IHZ_HAZ_UNNUMBER,144,1)&lt;&gt;"",INDEX(IHZ_HAZ_TOTAMOUNT,144,1)&lt;&gt;"",INDEX(IHZ_HAZ_PACKINGGRO,144,1)&lt;&gt;"",INDEX(IHZ_HAZ_FLASHPOINT,144,1)&lt;&gt;"",INDEX(IHZ_HAZ_MARPOLCODE,144,1)&lt;&gt;"",INDEX(IHZ_HAZ_PACTYPE,144,1)&lt;&gt;"",INDEX(IHZ_HAZ_TOTALPACKA,144,1)&lt;&gt;"",INDEX(IHZ_HAZ_ADDITIONAL,144,1)&lt;&gt;"",INDEX(IHZ_HAZ_EMS,144,1)&lt;&gt;"",INDEX(IHZ_HAZ_SUBSIDIARY,144,1)&lt;&gt;"",INDEX(IHZ_HAZ_UNITTYPE,144,1)&lt;&gt;"",INDEX(IHZ_HAZ_TEUID,144,1)&lt;&gt;"",INDEX(IHZ_HAZ_LOCATION,144,1)&lt;&gt;"",INDEX(IHZ_HAZ_PACKAGES,144,1)&lt;&gt;"",INDEX(IHZ_HAZ_AMOUNT,144,1)&lt;&gt;"",),IF(OR(INDEX(IHZ_HAZ_DGCLASSIFI,144,1)="",INDEX(IHZ_HAZ_TEXTUALREF,144,1)="",INDEX(IHZ_HAZ_TOTAMOUNT,144,1)="",INDEX(IHZ_HAZ_DPGREF,144,1)="",INDEX(IHZ_HAZ_CONSIGNMENT,144,1)="",),FALSE,TRUE),TRUE)</f>
        <v>1</v>
      </c>
      <c r="H151" s="237" t="str">
        <f t="shared" si="5"/>
        <v>Row 144 - All mandatory fields must be given</v>
      </c>
      <c r="I151" s="236" t="s">
        <v>1853</v>
      </c>
      <c r="J151" s="52" t="b">
        <f>IF(OR(INDEX(OHZ_HAZ_CONSIGNMENT,144,1)&lt;&gt;"",INDEX(OHZ_HAZ_TRANSDOCID,144,1)&lt;&gt;"",INDEX(OHZ_HAZ_PORTOFLOADING,144,1)&lt;&gt;"",INDEX(OHZ_HAZ_PORTOFDISCHARGE,144,1)&lt;&gt;"",INDEX(OHZ_HAZ_DPGREF,144,1)&lt;&gt;"",INDEX(OHZ_HAZ_DGCLASSIFI,144,1)&lt;&gt;"",INDEX(OHZ_HAZ_TEXTUALREF,144,1)&lt;&gt;"",INDEX(OHZ_HAZ_IMOHAZARDC,144,1)&lt;&gt;"",INDEX(OHZ_HAZ_UNNUMBER,144,1)&lt;&gt;"",INDEX(OHZ_HAZ_TOTAMOUNT,144,1)&lt;&gt;"",INDEX(OHZ_HAZ_PACKINGGRO,144,1)&lt;&gt;"",INDEX(OHZ_HAZ_FLASHPOINT,144,1)&lt;&gt;"",INDEX(OHZ_HAZ_MARPOLCODE,144,1)&lt;&gt;"",INDEX(OHZ_HAZ_PACTYPE,144,1)&lt;&gt;"",INDEX(OHZ_HAZ_TOTALPACKA,144,1)&lt;&gt;"",INDEX(OHZ_HAZ_ADDITIONAL,144,1)&lt;&gt;"",INDEX(OHZ_HAZ_EMS,144,1)&lt;&gt;"",INDEX(OHZ_HAZ_SUBSIDIARY,144,1)&lt;&gt;"",INDEX(OHZ_HAZ_UNITTYPE,144,1)&lt;&gt;"",INDEX(OHZ_HAZ_TEUID,144,1)&lt;&gt;"",INDEX(OHZ_HAZ_LOCATION,144,1)&lt;&gt;"",INDEX(OHZ_HAZ_PACKAGES,144,1)&lt;&gt;"",INDEX(OHZ_HAZ_AMOUNT,144,1)&lt;&gt;"",),IF(OR(INDEX(OHZ_HAZ_DGCLASSIFI,144,1)="",INDEX(OHZ_HAZ_TEXTUALREF,144,1)="",INDEX(OHZ_HAZ_TOTAMOUNT,144,1)="",INDEX(OHZ_HAZ_DPGREF,144,1)="",INDEX(OHZ_HAZ_CONSIGNMENT,144,1)="",),FALSE,TRUE),TRUE)</f>
        <v>1</v>
      </c>
      <c r="K151" s="237" t="str">
        <f t="shared" si="6"/>
        <v>Row 144 - All mandatory fields must be given</v>
      </c>
      <c r="L151" s="236" t="s">
        <v>1853</v>
      </c>
      <c r="S151" s="52"/>
      <c r="T151" s="52" t="s">
        <v>2236</v>
      </c>
      <c r="V151" s="52"/>
    </row>
    <row r="152" spans="6:22">
      <c r="F152" s="236" t="s">
        <v>1853</v>
      </c>
      <c r="G152" s="250" t="b">
        <f>IF(OR(INDEX(IHZ_HAZ_CONSIGNMENT,145,1)&lt;&gt;"",INDEX(IHZ_HAZ_TRANSDOCID,145,1)&lt;&gt;"",INDEX(IHZ_HAZ_PORTOFLOADING,145,1)&lt;&gt;"",INDEX(IHZ_HAZ_PORTOFDISCHARGE,145,1)&lt;&gt;"",INDEX(IHZ_HAZ_DPGREF,145,1)&lt;&gt;"",INDEX(IHZ_HAZ_DGCLASSIFI,145,1)&lt;&gt;"",INDEX(IHZ_HAZ_TEXTUALREF,145,1)&lt;&gt;"",INDEX(IHZ_HAZ_IMOHAZARDC,145,1)&lt;&gt;"",INDEX(IHZ_HAZ_UNNUMBER,145,1)&lt;&gt;"",INDEX(IHZ_HAZ_TOTAMOUNT,145,1)&lt;&gt;"",INDEX(IHZ_HAZ_PACKINGGRO,145,1)&lt;&gt;"",INDEX(IHZ_HAZ_FLASHPOINT,145,1)&lt;&gt;"",INDEX(IHZ_HAZ_MARPOLCODE,145,1)&lt;&gt;"",INDEX(IHZ_HAZ_PACTYPE,145,1)&lt;&gt;"",INDEX(IHZ_HAZ_TOTALPACKA,145,1)&lt;&gt;"",INDEX(IHZ_HAZ_ADDITIONAL,145,1)&lt;&gt;"",INDEX(IHZ_HAZ_EMS,145,1)&lt;&gt;"",INDEX(IHZ_HAZ_SUBSIDIARY,145,1)&lt;&gt;"",INDEX(IHZ_HAZ_UNITTYPE,145,1)&lt;&gt;"",INDEX(IHZ_HAZ_TEUID,145,1)&lt;&gt;"",INDEX(IHZ_HAZ_LOCATION,145,1)&lt;&gt;"",INDEX(IHZ_HAZ_PACKAGES,145,1)&lt;&gt;"",INDEX(IHZ_HAZ_AMOUNT,145,1)&lt;&gt;"",),IF(OR(INDEX(IHZ_HAZ_DGCLASSIFI,145,1)="",INDEX(IHZ_HAZ_TEXTUALREF,145,1)="",INDEX(IHZ_HAZ_TOTAMOUNT,145,1)="",INDEX(IHZ_HAZ_DPGREF,145,1)="",INDEX(IHZ_HAZ_CONSIGNMENT,145,1)="",),FALSE,TRUE),TRUE)</f>
        <v>1</v>
      </c>
      <c r="H152" s="237" t="str">
        <f t="shared" si="5"/>
        <v>Row 145 - All mandatory fields must be given</v>
      </c>
      <c r="I152" s="236" t="s">
        <v>1853</v>
      </c>
      <c r="J152" s="52" t="b">
        <f>IF(OR(INDEX(OHZ_HAZ_CONSIGNMENT,145,1)&lt;&gt;"",INDEX(OHZ_HAZ_TRANSDOCID,145,1)&lt;&gt;"",INDEX(OHZ_HAZ_PORTOFLOADING,145,1)&lt;&gt;"",INDEX(OHZ_HAZ_PORTOFDISCHARGE,145,1)&lt;&gt;"",INDEX(OHZ_HAZ_DPGREF,145,1)&lt;&gt;"",INDEX(OHZ_HAZ_DGCLASSIFI,145,1)&lt;&gt;"",INDEX(OHZ_HAZ_TEXTUALREF,145,1)&lt;&gt;"",INDEX(OHZ_HAZ_IMOHAZARDC,145,1)&lt;&gt;"",INDEX(OHZ_HAZ_UNNUMBER,145,1)&lt;&gt;"",INDEX(OHZ_HAZ_TOTAMOUNT,145,1)&lt;&gt;"",INDEX(OHZ_HAZ_PACKINGGRO,145,1)&lt;&gt;"",INDEX(OHZ_HAZ_FLASHPOINT,145,1)&lt;&gt;"",INDEX(OHZ_HAZ_MARPOLCODE,145,1)&lt;&gt;"",INDEX(OHZ_HAZ_PACTYPE,145,1)&lt;&gt;"",INDEX(OHZ_HAZ_TOTALPACKA,145,1)&lt;&gt;"",INDEX(OHZ_HAZ_ADDITIONAL,145,1)&lt;&gt;"",INDEX(OHZ_HAZ_EMS,145,1)&lt;&gt;"",INDEX(OHZ_HAZ_SUBSIDIARY,145,1)&lt;&gt;"",INDEX(OHZ_HAZ_UNITTYPE,145,1)&lt;&gt;"",INDEX(OHZ_HAZ_TEUID,145,1)&lt;&gt;"",INDEX(OHZ_HAZ_LOCATION,145,1)&lt;&gt;"",INDEX(OHZ_HAZ_PACKAGES,145,1)&lt;&gt;"",INDEX(OHZ_HAZ_AMOUNT,145,1)&lt;&gt;"",),IF(OR(INDEX(OHZ_HAZ_DGCLASSIFI,145,1)="",INDEX(OHZ_HAZ_TEXTUALREF,145,1)="",INDEX(OHZ_HAZ_TOTAMOUNT,145,1)="",INDEX(OHZ_HAZ_DPGREF,145,1)="",INDEX(OHZ_HAZ_CONSIGNMENT,145,1)="",),FALSE,TRUE),TRUE)</f>
        <v>1</v>
      </c>
      <c r="K152" s="237" t="str">
        <f t="shared" si="6"/>
        <v>Row 145 - All mandatory fields must be given</v>
      </c>
      <c r="L152" s="236" t="s">
        <v>1853</v>
      </c>
      <c r="S152" s="52"/>
      <c r="T152" s="52" t="s">
        <v>2237</v>
      </c>
      <c r="V152" s="52"/>
    </row>
    <row r="153" spans="6:22">
      <c r="F153" s="236" t="s">
        <v>1853</v>
      </c>
      <c r="G153" s="250" t="b">
        <f>IF(OR(INDEX(IHZ_HAZ_CONSIGNMENT,146,1)&lt;&gt;"",INDEX(IHZ_HAZ_TRANSDOCID,146,1)&lt;&gt;"",INDEX(IHZ_HAZ_PORTOFLOADING,146,1)&lt;&gt;"",INDEX(IHZ_HAZ_PORTOFDISCHARGE,146,1)&lt;&gt;"",INDEX(IHZ_HAZ_DPGREF,146,1)&lt;&gt;"",INDEX(IHZ_HAZ_DGCLASSIFI,146,1)&lt;&gt;"",INDEX(IHZ_HAZ_TEXTUALREF,146,1)&lt;&gt;"",INDEX(IHZ_HAZ_IMOHAZARDC,146,1)&lt;&gt;"",INDEX(IHZ_HAZ_UNNUMBER,146,1)&lt;&gt;"",INDEX(IHZ_HAZ_TOTAMOUNT,146,1)&lt;&gt;"",INDEX(IHZ_HAZ_PACKINGGRO,146,1)&lt;&gt;"",INDEX(IHZ_HAZ_FLASHPOINT,146,1)&lt;&gt;"",INDEX(IHZ_HAZ_MARPOLCODE,146,1)&lt;&gt;"",INDEX(IHZ_HAZ_PACTYPE,146,1)&lt;&gt;"",INDEX(IHZ_HAZ_TOTALPACKA,146,1)&lt;&gt;"",INDEX(IHZ_HAZ_ADDITIONAL,146,1)&lt;&gt;"",INDEX(IHZ_HAZ_EMS,146,1)&lt;&gt;"",INDEX(IHZ_HAZ_SUBSIDIARY,146,1)&lt;&gt;"",INDEX(IHZ_HAZ_UNITTYPE,146,1)&lt;&gt;"",INDEX(IHZ_HAZ_TEUID,146,1)&lt;&gt;"",INDEX(IHZ_HAZ_LOCATION,146,1)&lt;&gt;"",INDEX(IHZ_HAZ_PACKAGES,146,1)&lt;&gt;"",INDEX(IHZ_HAZ_AMOUNT,146,1)&lt;&gt;"",),IF(OR(INDEX(IHZ_HAZ_DGCLASSIFI,146,1)="",INDEX(IHZ_HAZ_TEXTUALREF,146,1)="",INDEX(IHZ_HAZ_TOTAMOUNT,146,1)="",INDEX(IHZ_HAZ_DPGREF,146,1)="",INDEX(IHZ_HAZ_CONSIGNMENT,146,1)="",),FALSE,TRUE),TRUE)</f>
        <v>1</v>
      </c>
      <c r="H153" s="237" t="str">
        <f t="shared" si="5"/>
        <v>Row 146 - All mandatory fields must be given</v>
      </c>
      <c r="I153" s="236" t="s">
        <v>1853</v>
      </c>
      <c r="J153" s="52" t="b">
        <f>IF(OR(INDEX(OHZ_HAZ_CONSIGNMENT,146,1)&lt;&gt;"",INDEX(OHZ_HAZ_TRANSDOCID,146,1)&lt;&gt;"",INDEX(OHZ_HAZ_PORTOFLOADING,146,1)&lt;&gt;"",INDEX(OHZ_HAZ_PORTOFDISCHARGE,146,1)&lt;&gt;"",INDEX(OHZ_HAZ_DPGREF,146,1)&lt;&gt;"",INDEX(OHZ_HAZ_DGCLASSIFI,146,1)&lt;&gt;"",INDEX(OHZ_HAZ_TEXTUALREF,146,1)&lt;&gt;"",INDEX(OHZ_HAZ_IMOHAZARDC,146,1)&lt;&gt;"",INDEX(OHZ_HAZ_UNNUMBER,146,1)&lt;&gt;"",INDEX(OHZ_HAZ_TOTAMOUNT,146,1)&lt;&gt;"",INDEX(OHZ_HAZ_PACKINGGRO,146,1)&lt;&gt;"",INDEX(OHZ_HAZ_FLASHPOINT,146,1)&lt;&gt;"",INDEX(OHZ_HAZ_MARPOLCODE,146,1)&lt;&gt;"",INDEX(OHZ_HAZ_PACTYPE,146,1)&lt;&gt;"",INDEX(OHZ_HAZ_TOTALPACKA,146,1)&lt;&gt;"",INDEX(OHZ_HAZ_ADDITIONAL,146,1)&lt;&gt;"",INDEX(OHZ_HAZ_EMS,146,1)&lt;&gt;"",INDEX(OHZ_HAZ_SUBSIDIARY,146,1)&lt;&gt;"",INDEX(OHZ_HAZ_UNITTYPE,146,1)&lt;&gt;"",INDEX(OHZ_HAZ_TEUID,146,1)&lt;&gt;"",INDEX(OHZ_HAZ_LOCATION,146,1)&lt;&gt;"",INDEX(OHZ_HAZ_PACKAGES,146,1)&lt;&gt;"",INDEX(OHZ_HAZ_AMOUNT,146,1)&lt;&gt;"",),IF(OR(INDEX(OHZ_HAZ_DGCLASSIFI,146,1)="",INDEX(OHZ_HAZ_TEXTUALREF,146,1)="",INDEX(OHZ_HAZ_TOTAMOUNT,146,1)="",INDEX(OHZ_HAZ_DPGREF,146,1)="",INDEX(OHZ_HAZ_CONSIGNMENT,146,1)="",),FALSE,TRUE),TRUE)</f>
        <v>1</v>
      </c>
      <c r="K153" s="237" t="str">
        <f t="shared" si="6"/>
        <v>Row 146 - All mandatory fields must be given</v>
      </c>
      <c r="L153" s="236" t="s">
        <v>1853</v>
      </c>
      <c r="S153" s="52"/>
      <c r="T153" s="52" t="s">
        <v>2238</v>
      </c>
      <c r="V153" s="52"/>
    </row>
    <row r="154" spans="6:22">
      <c r="F154" s="236" t="s">
        <v>1853</v>
      </c>
      <c r="G154" s="250" t="b">
        <f>IF(OR(INDEX(IHZ_HAZ_CONSIGNMENT,147,1)&lt;&gt;"",INDEX(IHZ_HAZ_TRANSDOCID,147,1)&lt;&gt;"",INDEX(IHZ_HAZ_PORTOFLOADING,147,1)&lt;&gt;"",INDEX(IHZ_HAZ_PORTOFDISCHARGE,147,1)&lt;&gt;"",INDEX(IHZ_HAZ_DPGREF,147,1)&lt;&gt;"",INDEX(IHZ_HAZ_DGCLASSIFI,147,1)&lt;&gt;"",INDEX(IHZ_HAZ_TEXTUALREF,147,1)&lt;&gt;"",INDEX(IHZ_HAZ_IMOHAZARDC,147,1)&lt;&gt;"",INDEX(IHZ_HAZ_UNNUMBER,147,1)&lt;&gt;"",INDEX(IHZ_HAZ_TOTAMOUNT,147,1)&lt;&gt;"",INDEX(IHZ_HAZ_PACKINGGRO,147,1)&lt;&gt;"",INDEX(IHZ_HAZ_FLASHPOINT,147,1)&lt;&gt;"",INDEX(IHZ_HAZ_MARPOLCODE,147,1)&lt;&gt;"",INDEX(IHZ_HAZ_PACTYPE,147,1)&lt;&gt;"",INDEX(IHZ_HAZ_TOTALPACKA,147,1)&lt;&gt;"",INDEX(IHZ_HAZ_ADDITIONAL,147,1)&lt;&gt;"",INDEX(IHZ_HAZ_EMS,147,1)&lt;&gt;"",INDEX(IHZ_HAZ_SUBSIDIARY,147,1)&lt;&gt;"",INDEX(IHZ_HAZ_UNITTYPE,147,1)&lt;&gt;"",INDEX(IHZ_HAZ_TEUID,147,1)&lt;&gt;"",INDEX(IHZ_HAZ_LOCATION,147,1)&lt;&gt;"",INDEX(IHZ_HAZ_PACKAGES,147,1)&lt;&gt;"",INDEX(IHZ_HAZ_AMOUNT,147,1)&lt;&gt;"",),IF(OR(INDEX(IHZ_HAZ_DGCLASSIFI,147,1)="",INDEX(IHZ_HAZ_TEXTUALREF,147,1)="",INDEX(IHZ_HAZ_TOTAMOUNT,147,1)="",INDEX(IHZ_HAZ_DPGREF,147,1)="",INDEX(IHZ_HAZ_CONSIGNMENT,147,1)="",),FALSE,TRUE),TRUE)</f>
        <v>1</v>
      </c>
      <c r="H154" s="237" t="str">
        <f t="shared" si="5"/>
        <v>Row 147 - All mandatory fields must be given</v>
      </c>
      <c r="I154" s="236" t="s">
        <v>1853</v>
      </c>
      <c r="J154" s="52" t="b">
        <f>IF(OR(INDEX(OHZ_HAZ_CONSIGNMENT,147,1)&lt;&gt;"",INDEX(OHZ_HAZ_TRANSDOCID,147,1)&lt;&gt;"",INDEX(OHZ_HAZ_PORTOFLOADING,147,1)&lt;&gt;"",INDEX(OHZ_HAZ_PORTOFDISCHARGE,147,1)&lt;&gt;"",INDEX(OHZ_HAZ_DPGREF,147,1)&lt;&gt;"",INDEX(OHZ_HAZ_DGCLASSIFI,147,1)&lt;&gt;"",INDEX(OHZ_HAZ_TEXTUALREF,147,1)&lt;&gt;"",INDEX(OHZ_HAZ_IMOHAZARDC,147,1)&lt;&gt;"",INDEX(OHZ_HAZ_UNNUMBER,147,1)&lt;&gt;"",INDEX(OHZ_HAZ_TOTAMOUNT,147,1)&lt;&gt;"",INDEX(OHZ_HAZ_PACKINGGRO,147,1)&lt;&gt;"",INDEX(OHZ_HAZ_FLASHPOINT,147,1)&lt;&gt;"",INDEX(OHZ_HAZ_MARPOLCODE,147,1)&lt;&gt;"",INDEX(OHZ_HAZ_PACTYPE,147,1)&lt;&gt;"",INDEX(OHZ_HAZ_TOTALPACKA,147,1)&lt;&gt;"",INDEX(OHZ_HAZ_ADDITIONAL,147,1)&lt;&gt;"",INDEX(OHZ_HAZ_EMS,147,1)&lt;&gt;"",INDEX(OHZ_HAZ_SUBSIDIARY,147,1)&lt;&gt;"",INDEX(OHZ_HAZ_UNITTYPE,147,1)&lt;&gt;"",INDEX(OHZ_HAZ_TEUID,147,1)&lt;&gt;"",INDEX(OHZ_HAZ_LOCATION,147,1)&lt;&gt;"",INDEX(OHZ_HAZ_PACKAGES,147,1)&lt;&gt;"",INDEX(OHZ_HAZ_AMOUNT,147,1)&lt;&gt;"",),IF(OR(INDEX(OHZ_HAZ_DGCLASSIFI,147,1)="",INDEX(OHZ_HAZ_TEXTUALREF,147,1)="",INDEX(OHZ_HAZ_TOTAMOUNT,147,1)="",INDEX(OHZ_HAZ_DPGREF,147,1)="",INDEX(OHZ_HAZ_CONSIGNMENT,147,1)="",),FALSE,TRUE),TRUE)</f>
        <v>1</v>
      </c>
      <c r="K154" s="237" t="str">
        <f t="shared" si="6"/>
        <v>Row 147 - All mandatory fields must be given</v>
      </c>
      <c r="L154" s="236" t="s">
        <v>1853</v>
      </c>
      <c r="S154" s="52"/>
      <c r="T154" s="52" t="s">
        <v>2239</v>
      </c>
      <c r="V154" s="52"/>
    </row>
    <row r="155" spans="6:22">
      <c r="F155" s="236" t="s">
        <v>1853</v>
      </c>
      <c r="G155" s="250" t="b">
        <f>IF(OR(INDEX(IHZ_HAZ_CONSIGNMENT,148,1)&lt;&gt;"",INDEX(IHZ_HAZ_TRANSDOCID,148,1)&lt;&gt;"",INDEX(IHZ_HAZ_PORTOFLOADING,148,1)&lt;&gt;"",INDEX(IHZ_HAZ_PORTOFDISCHARGE,148,1)&lt;&gt;"",INDEX(IHZ_HAZ_DPGREF,148,1)&lt;&gt;"",INDEX(IHZ_HAZ_DGCLASSIFI,148,1)&lt;&gt;"",INDEX(IHZ_HAZ_TEXTUALREF,148,1)&lt;&gt;"",INDEX(IHZ_HAZ_IMOHAZARDC,148,1)&lt;&gt;"",INDEX(IHZ_HAZ_UNNUMBER,148,1)&lt;&gt;"",INDEX(IHZ_HAZ_TOTAMOUNT,148,1)&lt;&gt;"",INDEX(IHZ_HAZ_PACKINGGRO,148,1)&lt;&gt;"",INDEX(IHZ_HAZ_FLASHPOINT,148,1)&lt;&gt;"",INDEX(IHZ_HAZ_MARPOLCODE,148,1)&lt;&gt;"",INDEX(IHZ_HAZ_PACTYPE,148,1)&lt;&gt;"",INDEX(IHZ_HAZ_TOTALPACKA,148,1)&lt;&gt;"",INDEX(IHZ_HAZ_ADDITIONAL,148,1)&lt;&gt;"",INDEX(IHZ_HAZ_EMS,148,1)&lt;&gt;"",INDEX(IHZ_HAZ_SUBSIDIARY,148,1)&lt;&gt;"",INDEX(IHZ_HAZ_UNITTYPE,148,1)&lt;&gt;"",INDEX(IHZ_HAZ_TEUID,148,1)&lt;&gt;"",INDEX(IHZ_HAZ_LOCATION,148,1)&lt;&gt;"",INDEX(IHZ_HAZ_PACKAGES,148,1)&lt;&gt;"",INDEX(IHZ_HAZ_AMOUNT,148,1)&lt;&gt;"",),IF(OR(INDEX(IHZ_HAZ_DGCLASSIFI,148,1)="",INDEX(IHZ_HAZ_TEXTUALREF,148,1)="",INDEX(IHZ_HAZ_TOTAMOUNT,148,1)="",INDEX(IHZ_HAZ_DPGREF,148,1)="",INDEX(IHZ_HAZ_CONSIGNMENT,148,1)="",),FALSE,TRUE),TRUE)</f>
        <v>1</v>
      </c>
      <c r="H155" s="237" t="str">
        <f t="shared" si="5"/>
        <v>Row 148 - All mandatory fields must be given</v>
      </c>
      <c r="I155" s="236" t="s">
        <v>1853</v>
      </c>
      <c r="J155" s="52" t="b">
        <f>IF(OR(INDEX(OHZ_HAZ_CONSIGNMENT,148,1)&lt;&gt;"",INDEX(OHZ_HAZ_TRANSDOCID,148,1)&lt;&gt;"",INDEX(OHZ_HAZ_PORTOFLOADING,148,1)&lt;&gt;"",INDEX(OHZ_HAZ_PORTOFDISCHARGE,148,1)&lt;&gt;"",INDEX(OHZ_HAZ_DPGREF,148,1)&lt;&gt;"",INDEX(OHZ_HAZ_DGCLASSIFI,148,1)&lt;&gt;"",INDEX(OHZ_HAZ_TEXTUALREF,148,1)&lt;&gt;"",INDEX(OHZ_HAZ_IMOHAZARDC,148,1)&lt;&gt;"",INDEX(OHZ_HAZ_UNNUMBER,148,1)&lt;&gt;"",INDEX(OHZ_HAZ_TOTAMOUNT,148,1)&lt;&gt;"",INDEX(OHZ_HAZ_PACKINGGRO,148,1)&lt;&gt;"",INDEX(OHZ_HAZ_FLASHPOINT,148,1)&lt;&gt;"",INDEX(OHZ_HAZ_MARPOLCODE,148,1)&lt;&gt;"",INDEX(OHZ_HAZ_PACTYPE,148,1)&lt;&gt;"",INDEX(OHZ_HAZ_TOTALPACKA,148,1)&lt;&gt;"",INDEX(OHZ_HAZ_ADDITIONAL,148,1)&lt;&gt;"",INDEX(OHZ_HAZ_EMS,148,1)&lt;&gt;"",INDEX(OHZ_HAZ_SUBSIDIARY,148,1)&lt;&gt;"",INDEX(OHZ_HAZ_UNITTYPE,148,1)&lt;&gt;"",INDEX(OHZ_HAZ_TEUID,148,1)&lt;&gt;"",INDEX(OHZ_HAZ_LOCATION,148,1)&lt;&gt;"",INDEX(OHZ_HAZ_PACKAGES,148,1)&lt;&gt;"",INDEX(OHZ_HAZ_AMOUNT,148,1)&lt;&gt;"",),IF(OR(INDEX(OHZ_HAZ_DGCLASSIFI,148,1)="",INDEX(OHZ_HAZ_TEXTUALREF,148,1)="",INDEX(OHZ_HAZ_TOTAMOUNT,148,1)="",INDEX(OHZ_HAZ_DPGREF,148,1)="",INDEX(OHZ_HAZ_CONSIGNMENT,148,1)="",),FALSE,TRUE),TRUE)</f>
        <v>1</v>
      </c>
      <c r="K155" s="237" t="str">
        <f t="shared" si="6"/>
        <v>Row 148 - All mandatory fields must be given</v>
      </c>
      <c r="L155" s="236" t="s">
        <v>1853</v>
      </c>
      <c r="S155" s="52"/>
      <c r="T155" s="52" t="s">
        <v>2240</v>
      </c>
      <c r="V155" s="52"/>
    </row>
    <row r="156" spans="6:22">
      <c r="F156" s="236" t="s">
        <v>1853</v>
      </c>
      <c r="G156" s="250" t="b">
        <f>IF(OR(INDEX(IHZ_HAZ_CONSIGNMENT,149,1)&lt;&gt;"",INDEX(IHZ_HAZ_TRANSDOCID,149,1)&lt;&gt;"",INDEX(IHZ_HAZ_PORTOFLOADING,149,1)&lt;&gt;"",INDEX(IHZ_HAZ_PORTOFDISCHARGE,149,1)&lt;&gt;"",INDEX(IHZ_HAZ_DPGREF,149,1)&lt;&gt;"",INDEX(IHZ_HAZ_DGCLASSIFI,149,1)&lt;&gt;"",INDEX(IHZ_HAZ_TEXTUALREF,149,1)&lt;&gt;"",INDEX(IHZ_HAZ_IMOHAZARDC,149,1)&lt;&gt;"",INDEX(IHZ_HAZ_UNNUMBER,149,1)&lt;&gt;"",INDEX(IHZ_HAZ_TOTAMOUNT,149,1)&lt;&gt;"",INDEX(IHZ_HAZ_PACKINGGRO,149,1)&lt;&gt;"",INDEX(IHZ_HAZ_FLASHPOINT,149,1)&lt;&gt;"",INDEX(IHZ_HAZ_MARPOLCODE,149,1)&lt;&gt;"",INDEX(IHZ_HAZ_PACTYPE,149,1)&lt;&gt;"",INDEX(IHZ_HAZ_TOTALPACKA,149,1)&lt;&gt;"",INDEX(IHZ_HAZ_ADDITIONAL,149,1)&lt;&gt;"",INDEX(IHZ_HAZ_EMS,149,1)&lt;&gt;"",INDEX(IHZ_HAZ_SUBSIDIARY,149,1)&lt;&gt;"",INDEX(IHZ_HAZ_UNITTYPE,149,1)&lt;&gt;"",INDEX(IHZ_HAZ_TEUID,149,1)&lt;&gt;"",INDEX(IHZ_HAZ_LOCATION,149,1)&lt;&gt;"",INDEX(IHZ_HAZ_PACKAGES,149,1)&lt;&gt;"",INDEX(IHZ_HAZ_AMOUNT,149,1)&lt;&gt;"",),IF(OR(INDEX(IHZ_HAZ_DGCLASSIFI,149,1)="",INDEX(IHZ_HAZ_TEXTUALREF,149,1)="",INDEX(IHZ_HAZ_TOTAMOUNT,149,1)="",INDEX(IHZ_HAZ_DPGREF,149,1)="",INDEX(IHZ_HAZ_CONSIGNMENT,149,1)="",),FALSE,TRUE),TRUE)</f>
        <v>1</v>
      </c>
      <c r="H156" s="237" t="str">
        <f t="shared" si="5"/>
        <v>Row 149 - All mandatory fields must be given</v>
      </c>
      <c r="I156" s="236" t="s">
        <v>1853</v>
      </c>
      <c r="J156" s="52" t="b">
        <f>IF(OR(INDEX(OHZ_HAZ_CONSIGNMENT,149,1)&lt;&gt;"",INDEX(OHZ_HAZ_TRANSDOCID,149,1)&lt;&gt;"",INDEX(OHZ_HAZ_PORTOFLOADING,149,1)&lt;&gt;"",INDEX(OHZ_HAZ_PORTOFDISCHARGE,149,1)&lt;&gt;"",INDEX(OHZ_HAZ_DPGREF,149,1)&lt;&gt;"",INDEX(OHZ_HAZ_DGCLASSIFI,149,1)&lt;&gt;"",INDEX(OHZ_HAZ_TEXTUALREF,149,1)&lt;&gt;"",INDEX(OHZ_HAZ_IMOHAZARDC,149,1)&lt;&gt;"",INDEX(OHZ_HAZ_UNNUMBER,149,1)&lt;&gt;"",INDEX(OHZ_HAZ_TOTAMOUNT,149,1)&lt;&gt;"",INDEX(OHZ_HAZ_PACKINGGRO,149,1)&lt;&gt;"",INDEX(OHZ_HAZ_FLASHPOINT,149,1)&lt;&gt;"",INDEX(OHZ_HAZ_MARPOLCODE,149,1)&lt;&gt;"",INDEX(OHZ_HAZ_PACTYPE,149,1)&lt;&gt;"",INDEX(OHZ_HAZ_TOTALPACKA,149,1)&lt;&gt;"",INDEX(OHZ_HAZ_ADDITIONAL,149,1)&lt;&gt;"",INDEX(OHZ_HAZ_EMS,149,1)&lt;&gt;"",INDEX(OHZ_HAZ_SUBSIDIARY,149,1)&lt;&gt;"",INDEX(OHZ_HAZ_UNITTYPE,149,1)&lt;&gt;"",INDEX(OHZ_HAZ_TEUID,149,1)&lt;&gt;"",INDEX(OHZ_HAZ_LOCATION,149,1)&lt;&gt;"",INDEX(OHZ_HAZ_PACKAGES,149,1)&lt;&gt;"",INDEX(OHZ_HAZ_AMOUNT,149,1)&lt;&gt;"",),IF(OR(INDEX(OHZ_HAZ_DGCLASSIFI,149,1)="",INDEX(OHZ_HAZ_TEXTUALREF,149,1)="",INDEX(OHZ_HAZ_TOTAMOUNT,149,1)="",INDEX(OHZ_HAZ_DPGREF,149,1)="",INDEX(OHZ_HAZ_CONSIGNMENT,149,1)="",),FALSE,TRUE),TRUE)</f>
        <v>1</v>
      </c>
      <c r="K156" s="237" t="str">
        <f t="shared" si="6"/>
        <v>Row 149 - All mandatory fields must be given</v>
      </c>
      <c r="L156" s="236" t="s">
        <v>1853</v>
      </c>
      <c r="S156" s="52"/>
      <c r="T156" s="52" t="s">
        <v>2241</v>
      </c>
      <c r="V156" s="52"/>
    </row>
    <row r="157" spans="6:22">
      <c r="F157" s="236" t="s">
        <v>1853</v>
      </c>
      <c r="G157" s="250" t="b">
        <f>IF(OR(INDEX(IHZ_HAZ_CONSIGNMENT,150,1)&lt;&gt;"",INDEX(IHZ_HAZ_TRANSDOCID,150,1)&lt;&gt;"",INDEX(IHZ_HAZ_PORTOFLOADING,150,1)&lt;&gt;"",INDEX(IHZ_HAZ_PORTOFDISCHARGE,150,1)&lt;&gt;"",INDEX(IHZ_HAZ_DPGREF,150,1)&lt;&gt;"",INDEX(IHZ_HAZ_DGCLASSIFI,150,1)&lt;&gt;"",INDEX(IHZ_HAZ_TEXTUALREF,150,1)&lt;&gt;"",INDEX(IHZ_HAZ_IMOHAZARDC,150,1)&lt;&gt;"",INDEX(IHZ_HAZ_UNNUMBER,150,1)&lt;&gt;"",INDEX(IHZ_HAZ_TOTAMOUNT,150,1)&lt;&gt;"",INDEX(IHZ_HAZ_PACKINGGRO,150,1)&lt;&gt;"",INDEX(IHZ_HAZ_FLASHPOINT,150,1)&lt;&gt;"",INDEX(IHZ_HAZ_MARPOLCODE,150,1)&lt;&gt;"",INDEX(IHZ_HAZ_PACTYPE,150,1)&lt;&gt;"",INDEX(IHZ_HAZ_TOTALPACKA,150,1)&lt;&gt;"",INDEX(IHZ_HAZ_ADDITIONAL,150,1)&lt;&gt;"",INDEX(IHZ_HAZ_EMS,150,1)&lt;&gt;"",INDEX(IHZ_HAZ_SUBSIDIARY,150,1)&lt;&gt;"",INDEX(IHZ_HAZ_UNITTYPE,150,1)&lt;&gt;"",INDEX(IHZ_HAZ_TEUID,150,1)&lt;&gt;"",INDEX(IHZ_HAZ_LOCATION,150,1)&lt;&gt;"",INDEX(IHZ_HAZ_PACKAGES,150,1)&lt;&gt;"",INDEX(IHZ_HAZ_AMOUNT,150,1)&lt;&gt;"",),IF(OR(INDEX(IHZ_HAZ_DGCLASSIFI,150,1)="",INDEX(IHZ_HAZ_TEXTUALREF,150,1)="",INDEX(IHZ_HAZ_TOTAMOUNT,150,1)="",INDEX(IHZ_HAZ_DPGREF,150,1)="",INDEX(IHZ_HAZ_CONSIGNMENT,150,1)="",),FALSE,TRUE),TRUE)</f>
        <v>1</v>
      </c>
      <c r="H157" s="237" t="str">
        <f t="shared" si="5"/>
        <v>Row 150 - All mandatory fields must be given</v>
      </c>
      <c r="I157" s="236" t="s">
        <v>1853</v>
      </c>
      <c r="J157" s="52" t="b">
        <f>IF(OR(INDEX(OHZ_HAZ_CONSIGNMENT,150,1)&lt;&gt;"",INDEX(OHZ_HAZ_TRANSDOCID,150,1)&lt;&gt;"",INDEX(OHZ_HAZ_PORTOFLOADING,150,1)&lt;&gt;"",INDEX(OHZ_HAZ_PORTOFDISCHARGE,150,1)&lt;&gt;"",INDEX(OHZ_HAZ_DPGREF,150,1)&lt;&gt;"",INDEX(OHZ_HAZ_DGCLASSIFI,150,1)&lt;&gt;"",INDEX(OHZ_HAZ_TEXTUALREF,150,1)&lt;&gt;"",INDEX(OHZ_HAZ_IMOHAZARDC,150,1)&lt;&gt;"",INDEX(OHZ_HAZ_UNNUMBER,150,1)&lt;&gt;"",INDEX(OHZ_HAZ_TOTAMOUNT,150,1)&lt;&gt;"",INDEX(OHZ_HAZ_PACKINGGRO,150,1)&lt;&gt;"",INDEX(OHZ_HAZ_FLASHPOINT,150,1)&lt;&gt;"",INDEX(OHZ_HAZ_MARPOLCODE,150,1)&lt;&gt;"",INDEX(OHZ_HAZ_PACTYPE,150,1)&lt;&gt;"",INDEX(OHZ_HAZ_TOTALPACKA,150,1)&lt;&gt;"",INDEX(OHZ_HAZ_ADDITIONAL,150,1)&lt;&gt;"",INDEX(OHZ_HAZ_EMS,150,1)&lt;&gt;"",INDEX(OHZ_HAZ_SUBSIDIARY,150,1)&lt;&gt;"",INDEX(OHZ_HAZ_UNITTYPE,150,1)&lt;&gt;"",INDEX(OHZ_HAZ_TEUID,150,1)&lt;&gt;"",INDEX(OHZ_HAZ_LOCATION,150,1)&lt;&gt;"",INDEX(OHZ_HAZ_PACKAGES,150,1)&lt;&gt;"",INDEX(OHZ_HAZ_AMOUNT,150,1)&lt;&gt;"",),IF(OR(INDEX(OHZ_HAZ_DGCLASSIFI,150,1)="",INDEX(OHZ_HAZ_TEXTUALREF,150,1)="",INDEX(OHZ_HAZ_TOTAMOUNT,150,1)="",INDEX(OHZ_HAZ_DPGREF,150,1)="",INDEX(OHZ_HAZ_CONSIGNMENT,150,1)="",),FALSE,TRUE),TRUE)</f>
        <v>1</v>
      </c>
      <c r="K157" s="237" t="str">
        <f t="shared" si="6"/>
        <v>Row 150 - All mandatory fields must be given</v>
      </c>
      <c r="L157" s="236" t="s">
        <v>1853</v>
      </c>
      <c r="S157" s="52"/>
      <c r="T157" s="52" t="s">
        <v>2242</v>
      </c>
      <c r="V157" s="52"/>
    </row>
    <row r="158" spans="6:22">
      <c r="F158" s="236" t="s">
        <v>1853</v>
      </c>
      <c r="G158" s="250" t="b">
        <f>IF(OR(INDEX(IHZ_HAZ_CONSIGNMENT,151,1)&lt;&gt;"",INDEX(IHZ_HAZ_TRANSDOCID,151,1)&lt;&gt;"",INDEX(IHZ_HAZ_PORTOFLOADING,151,1)&lt;&gt;"",INDEX(IHZ_HAZ_PORTOFDISCHARGE,151,1)&lt;&gt;"",INDEX(IHZ_HAZ_DPGREF,151,1)&lt;&gt;"",INDEX(IHZ_HAZ_DGCLASSIFI,151,1)&lt;&gt;"",INDEX(IHZ_HAZ_TEXTUALREF,151,1)&lt;&gt;"",INDEX(IHZ_HAZ_IMOHAZARDC,151,1)&lt;&gt;"",INDEX(IHZ_HAZ_UNNUMBER,151,1)&lt;&gt;"",INDEX(IHZ_HAZ_TOTAMOUNT,151,1)&lt;&gt;"",INDEX(IHZ_HAZ_PACKINGGRO,151,1)&lt;&gt;"",INDEX(IHZ_HAZ_FLASHPOINT,151,1)&lt;&gt;"",INDEX(IHZ_HAZ_MARPOLCODE,151,1)&lt;&gt;"",INDEX(IHZ_HAZ_PACTYPE,151,1)&lt;&gt;"",INDEX(IHZ_HAZ_TOTALPACKA,151,1)&lt;&gt;"",INDEX(IHZ_HAZ_ADDITIONAL,151,1)&lt;&gt;"",INDEX(IHZ_HAZ_EMS,151,1)&lt;&gt;"",INDEX(IHZ_HAZ_SUBSIDIARY,151,1)&lt;&gt;"",INDEX(IHZ_HAZ_UNITTYPE,151,1)&lt;&gt;"",INDEX(IHZ_HAZ_TEUID,151,1)&lt;&gt;"",INDEX(IHZ_HAZ_LOCATION,151,1)&lt;&gt;"",INDEX(IHZ_HAZ_PACKAGES,151,1)&lt;&gt;"",INDEX(IHZ_HAZ_AMOUNT,151,1)&lt;&gt;"",),IF(OR(INDEX(IHZ_HAZ_DGCLASSIFI,151,1)="",INDEX(IHZ_HAZ_TEXTUALREF,151,1)="",INDEX(IHZ_HAZ_TOTAMOUNT,151,1)="",INDEX(IHZ_HAZ_DPGREF,151,1)="",INDEX(IHZ_HAZ_CONSIGNMENT,151,1)="",),FALSE,TRUE),TRUE)</f>
        <v>1</v>
      </c>
      <c r="H158" s="237" t="str">
        <f t="shared" si="5"/>
        <v>Row 151 - All mandatory fields must be given</v>
      </c>
      <c r="I158" s="236" t="s">
        <v>1853</v>
      </c>
      <c r="J158" s="52" t="b">
        <f>IF(OR(INDEX(OHZ_HAZ_CONSIGNMENT,151,1)&lt;&gt;"",INDEX(OHZ_HAZ_TRANSDOCID,151,1)&lt;&gt;"",INDEX(OHZ_HAZ_PORTOFLOADING,151,1)&lt;&gt;"",INDEX(OHZ_HAZ_PORTOFDISCHARGE,151,1)&lt;&gt;"",INDEX(OHZ_HAZ_DPGREF,151,1)&lt;&gt;"",INDEX(OHZ_HAZ_DGCLASSIFI,151,1)&lt;&gt;"",INDEX(OHZ_HAZ_TEXTUALREF,151,1)&lt;&gt;"",INDEX(OHZ_HAZ_IMOHAZARDC,151,1)&lt;&gt;"",INDEX(OHZ_HAZ_UNNUMBER,151,1)&lt;&gt;"",INDEX(OHZ_HAZ_TOTAMOUNT,151,1)&lt;&gt;"",INDEX(OHZ_HAZ_PACKINGGRO,151,1)&lt;&gt;"",INDEX(OHZ_HAZ_FLASHPOINT,151,1)&lt;&gt;"",INDEX(OHZ_HAZ_MARPOLCODE,151,1)&lt;&gt;"",INDEX(OHZ_HAZ_PACTYPE,151,1)&lt;&gt;"",INDEX(OHZ_HAZ_TOTALPACKA,151,1)&lt;&gt;"",INDEX(OHZ_HAZ_ADDITIONAL,151,1)&lt;&gt;"",INDEX(OHZ_HAZ_EMS,151,1)&lt;&gt;"",INDEX(OHZ_HAZ_SUBSIDIARY,151,1)&lt;&gt;"",INDEX(OHZ_HAZ_UNITTYPE,151,1)&lt;&gt;"",INDEX(OHZ_HAZ_TEUID,151,1)&lt;&gt;"",INDEX(OHZ_HAZ_LOCATION,151,1)&lt;&gt;"",INDEX(OHZ_HAZ_PACKAGES,151,1)&lt;&gt;"",INDEX(OHZ_HAZ_AMOUNT,151,1)&lt;&gt;"",),IF(OR(INDEX(OHZ_HAZ_DGCLASSIFI,151,1)="",INDEX(OHZ_HAZ_TEXTUALREF,151,1)="",INDEX(OHZ_HAZ_TOTAMOUNT,151,1)="",INDEX(OHZ_HAZ_DPGREF,151,1)="",INDEX(OHZ_HAZ_CONSIGNMENT,151,1)="",),FALSE,TRUE),TRUE)</f>
        <v>1</v>
      </c>
      <c r="K158" s="237" t="str">
        <f t="shared" si="6"/>
        <v>Row 151 - All mandatory fields must be given</v>
      </c>
      <c r="L158" s="236" t="s">
        <v>1853</v>
      </c>
      <c r="S158" s="52"/>
      <c r="T158" s="52" t="s">
        <v>2243</v>
      </c>
      <c r="V158" s="52"/>
    </row>
    <row r="159" spans="6:22">
      <c r="F159" s="236" t="s">
        <v>1853</v>
      </c>
      <c r="G159" s="250" t="b">
        <f>IF(OR(INDEX(IHZ_HAZ_CONSIGNMENT,152,1)&lt;&gt;"",INDEX(IHZ_HAZ_TRANSDOCID,152,1)&lt;&gt;"",INDEX(IHZ_HAZ_PORTOFLOADING,152,1)&lt;&gt;"",INDEX(IHZ_HAZ_PORTOFDISCHARGE,152,1)&lt;&gt;"",INDEX(IHZ_HAZ_DPGREF,152,1)&lt;&gt;"",INDEX(IHZ_HAZ_DGCLASSIFI,152,1)&lt;&gt;"",INDEX(IHZ_HAZ_TEXTUALREF,152,1)&lt;&gt;"",INDEX(IHZ_HAZ_IMOHAZARDC,152,1)&lt;&gt;"",INDEX(IHZ_HAZ_UNNUMBER,152,1)&lt;&gt;"",INDEX(IHZ_HAZ_TOTAMOUNT,152,1)&lt;&gt;"",INDEX(IHZ_HAZ_PACKINGGRO,152,1)&lt;&gt;"",INDEX(IHZ_HAZ_FLASHPOINT,152,1)&lt;&gt;"",INDEX(IHZ_HAZ_MARPOLCODE,152,1)&lt;&gt;"",INDEX(IHZ_HAZ_PACTYPE,152,1)&lt;&gt;"",INDEX(IHZ_HAZ_TOTALPACKA,152,1)&lt;&gt;"",INDEX(IHZ_HAZ_ADDITIONAL,152,1)&lt;&gt;"",INDEX(IHZ_HAZ_EMS,152,1)&lt;&gt;"",INDEX(IHZ_HAZ_SUBSIDIARY,152,1)&lt;&gt;"",INDEX(IHZ_HAZ_UNITTYPE,152,1)&lt;&gt;"",INDEX(IHZ_HAZ_TEUID,152,1)&lt;&gt;"",INDEX(IHZ_HAZ_LOCATION,152,1)&lt;&gt;"",INDEX(IHZ_HAZ_PACKAGES,152,1)&lt;&gt;"",INDEX(IHZ_HAZ_AMOUNT,152,1)&lt;&gt;"",),IF(OR(INDEX(IHZ_HAZ_DGCLASSIFI,152,1)="",INDEX(IHZ_HAZ_TEXTUALREF,152,1)="",INDEX(IHZ_HAZ_TOTAMOUNT,152,1)="",INDEX(IHZ_HAZ_DPGREF,152,1)="",INDEX(IHZ_HAZ_CONSIGNMENT,152,1)="",),FALSE,TRUE),TRUE)</f>
        <v>1</v>
      </c>
      <c r="H159" s="237" t="str">
        <f t="shared" si="5"/>
        <v>Row 152 - All mandatory fields must be given</v>
      </c>
      <c r="I159" s="236" t="s">
        <v>1853</v>
      </c>
      <c r="J159" s="52" t="b">
        <f>IF(OR(INDEX(OHZ_HAZ_CONSIGNMENT,152,1)&lt;&gt;"",INDEX(OHZ_HAZ_TRANSDOCID,152,1)&lt;&gt;"",INDEX(OHZ_HAZ_PORTOFLOADING,152,1)&lt;&gt;"",INDEX(OHZ_HAZ_PORTOFDISCHARGE,152,1)&lt;&gt;"",INDEX(OHZ_HAZ_DPGREF,152,1)&lt;&gt;"",INDEX(OHZ_HAZ_DGCLASSIFI,152,1)&lt;&gt;"",INDEX(OHZ_HAZ_TEXTUALREF,152,1)&lt;&gt;"",INDEX(OHZ_HAZ_IMOHAZARDC,152,1)&lt;&gt;"",INDEX(OHZ_HAZ_UNNUMBER,152,1)&lt;&gt;"",INDEX(OHZ_HAZ_TOTAMOUNT,152,1)&lt;&gt;"",INDEX(OHZ_HAZ_PACKINGGRO,152,1)&lt;&gt;"",INDEX(OHZ_HAZ_FLASHPOINT,152,1)&lt;&gt;"",INDEX(OHZ_HAZ_MARPOLCODE,152,1)&lt;&gt;"",INDEX(OHZ_HAZ_PACTYPE,152,1)&lt;&gt;"",INDEX(OHZ_HAZ_TOTALPACKA,152,1)&lt;&gt;"",INDEX(OHZ_HAZ_ADDITIONAL,152,1)&lt;&gt;"",INDEX(OHZ_HAZ_EMS,152,1)&lt;&gt;"",INDEX(OHZ_HAZ_SUBSIDIARY,152,1)&lt;&gt;"",INDEX(OHZ_HAZ_UNITTYPE,152,1)&lt;&gt;"",INDEX(OHZ_HAZ_TEUID,152,1)&lt;&gt;"",INDEX(OHZ_HAZ_LOCATION,152,1)&lt;&gt;"",INDEX(OHZ_HAZ_PACKAGES,152,1)&lt;&gt;"",INDEX(OHZ_HAZ_AMOUNT,152,1)&lt;&gt;"",),IF(OR(INDEX(OHZ_HAZ_DGCLASSIFI,152,1)="",INDEX(OHZ_HAZ_TEXTUALREF,152,1)="",INDEX(OHZ_HAZ_TOTAMOUNT,152,1)="",INDEX(OHZ_HAZ_DPGREF,152,1)="",INDEX(OHZ_HAZ_CONSIGNMENT,152,1)="",),FALSE,TRUE),TRUE)</f>
        <v>1</v>
      </c>
      <c r="K159" s="237" t="str">
        <f t="shared" si="6"/>
        <v>Row 152 - All mandatory fields must be given</v>
      </c>
      <c r="L159" s="236" t="s">
        <v>1853</v>
      </c>
      <c r="S159" s="52"/>
      <c r="T159" s="52" t="s">
        <v>2244</v>
      </c>
      <c r="V159" s="52"/>
    </row>
    <row r="160" spans="6:22">
      <c r="F160" s="236" t="s">
        <v>1853</v>
      </c>
      <c r="G160" s="250" t="b">
        <f>IF(OR(INDEX(IHZ_HAZ_CONSIGNMENT,153,1)&lt;&gt;"",INDEX(IHZ_HAZ_TRANSDOCID,153,1)&lt;&gt;"",INDEX(IHZ_HAZ_PORTOFLOADING,153,1)&lt;&gt;"",INDEX(IHZ_HAZ_PORTOFDISCHARGE,153,1)&lt;&gt;"",INDEX(IHZ_HAZ_DPGREF,153,1)&lt;&gt;"",INDEX(IHZ_HAZ_DGCLASSIFI,153,1)&lt;&gt;"",INDEX(IHZ_HAZ_TEXTUALREF,153,1)&lt;&gt;"",INDEX(IHZ_HAZ_IMOHAZARDC,153,1)&lt;&gt;"",INDEX(IHZ_HAZ_UNNUMBER,153,1)&lt;&gt;"",INDEX(IHZ_HAZ_TOTAMOUNT,153,1)&lt;&gt;"",INDEX(IHZ_HAZ_PACKINGGRO,153,1)&lt;&gt;"",INDEX(IHZ_HAZ_FLASHPOINT,153,1)&lt;&gt;"",INDEX(IHZ_HAZ_MARPOLCODE,153,1)&lt;&gt;"",INDEX(IHZ_HAZ_PACTYPE,153,1)&lt;&gt;"",INDEX(IHZ_HAZ_TOTALPACKA,153,1)&lt;&gt;"",INDEX(IHZ_HAZ_ADDITIONAL,153,1)&lt;&gt;"",INDEX(IHZ_HAZ_EMS,153,1)&lt;&gt;"",INDEX(IHZ_HAZ_SUBSIDIARY,153,1)&lt;&gt;"",INDEX(IHZ_HAZ_UNITTYPE,153,1)&lt;&gt;"",INDEX(IHZ_HAZ_TEUID,153,1)&lt;&gt;"",INDEX(IHZ_HAZ_LOCATION,153,1)&lt;&gt;"",INDEX(IHZ_HAZ_PACKAGES,153,1)&lt;&gt;"",INDEX(IHZ_HAZ_AMOUNT,153,1)&lt;&gt;"",),IF(OR(INDEX(IHZ_HAZ_DGCLASSIFI,153,1)="",INDEX(IHZ_HAZ_TEXTUALREF,153,1)="",INDEX(IHZ_HAZ_TOTAMOUNT,153,1)="",INDEX(IHZ_HAZ_DPGREF,153,1)="",INDEX(IHZ_HAZ_CONSIGNMENT,153,1)="",),FALSE,TRUE),TRUE)</f>
        <v>1</v>
      </c>
      <c r="H160" s="237" t="str">
        <f t="shared" si="5"/>
        <v>Row 153 - All mandatory fields must be given</v>
      </c>
      <c r="I160" s="236" t="s">
        <v>1853</v>
      </c>
      <c r="J160" s="52" t="b">
        <f>IF(OR(INDEX(OHZ_HAZ_CONSIGNMENT,153,1)&lt;&gt;"",INDEX(OHZ_HAZ_TRANSDOCID,153,1)&lt;&gt;"",INDEX(OHZ_HAZ_PORTOFLOADING,153,1)&lt;&gt;"",INDEX(OHZ_HAZ_PORTOFDISCHARGE,153,1)&lt;&gt;"",INDEX(OHZ_HAZ_DPGREF,153,1)&lt;&gt;"",INDEX(OHZ_HAZ_DGCLASSIFI,153,1)&lt;&gt;"",INDEX(OHZ_HAZ_TEXTUALREF,153,1)&lt;&gt;"",INDEX(OHZ_HAZ_IMOHAZARDC,153,1)&lt;&gt;"",INDEX(OHZ_HAZ_UNNUMBER,153,1)&lt;&gt;"",INDEX(OHZ_HAZ_TOTAMOUNT,153,1)&lt;&gt;"",INDEX(OHZ_HAZ_PACKINGGRO,153,1)&lt;&gt;"",INDEX(OHZ_HAZ_FLASHPOINT,153,1)&lt;&gt;"",INDEX(OHZ_HAZ_MARPOLCODE,153,1)&lt;&gt;"",INDEX(OHZ_HAZ_PACTYPE,153,1)&lt;&gt;"",INDEX(OHZ_HAZ_TOTALPACKA,153,1)&lt;&gt;"",INDEX(OHZ_HAZ_ADDITIONAL,153,1)&lt;&gt;"",INDEX(OHZ_HAZ_EMS,153,1)&lt;&gt;"",INDEX(OHZ_HAZ_SUBSIDIARY,153,1)&lt;&gt;"",INDEX(OHZ_HAZ_UNITTYPE,153,1)&lt;&gt;"",INDEX(OHZ_HAZ_TEUID,153,1)&lt;&gt;"",INDEX(OHZ_HAZ_LOCATION,153,1)&lt;&gt;"",INDEX(OHZ_HAZ_PACKAGES,153,1)&lt;&gt;"",INDEX(OHZ_HAZ_AMOUNT,153,1)&lt;&gt;"",),IF(OR(INDEX(OHZ_HAZ_DGCLASSIFI,153,1)="",INDEX(OHZ_HAZ_TEXTUALREF,153,1)="",INDEX(OHZ_HAZ_TOTAMOUNT,153,1)="",INDEX(OHZ_HAZ_DPGREF,153,1)="",INDEX(OHZ_HAZ_CONSIGNMENT,153,1)="",),FALSE,TRUE),TRUE)</f>
        <v>1</v>
      </c>
      <c r="K160" s="237" t="str">
        <f t="shared" si="6"/>
        <v>Row 153 - All mandatory fields must be given</v>
      </c>
      <c r="L160" s="236" t="s">
        <v>1853</v>
      </c>
      <c r="S160" s="52"/>
      <c r="T160" s="52" t="s">
        <v>2245</v>
      </c>
      <c r="V160" s="52"/>
    </row>
    <row r="161" spans="6:22">
      <c r="F161" s="236" t="s">
        <v>1853</v>
      </c>
      <c r="G161" s="250" t="b">
        <f>IF(OR(INDEX(IHZ_HAZ_CONSIGNMENT,154,1)&lt;&gt;"",INDEX(IHZ_HAZ_TRANSDOCID,154,1)&lt;&gt;"",INDEX(IHZ_HAZ_PORTOFLOADING,154,1)&lt;&gt;"",INDEX(IHZ_HAZ_PORTOFDISCHARGE,154,1)&lt;&gt;"",INDEX(IHZ_HAZ_DPGREF,154,1)&lt;&gt;"",INDEX(IHZ_HAZ_DGCLASSIFI,154,1)&lt;&gt;"",INDEX(IHZ_HAZ_TEXTUALREF,154,1)&lt;&gt;"",INDEX(IHZ_HAZ_IMOHAZARDC,154,1)&lt;&gt;"",INDEX(IHZ_HAZ_UNNUMBER,154,1)&lt;&gt;"",INDEX(IHZ_HAZ_TOTAMOUNT,154,1)&lt;&gt;"",INDEX(IHZ_HAZ_PACKINGGRO,154,1)&lt;&gt;"",INDEX(IHZ_HAZ_FLASHPOINT,154,1)&lt;&gt;"",INDEX(IHZ_HAZ_MARPOLCODE,154,1)&lt;&gt;"",INDEX(IHZ_HAZ_PACTYPE,154,1)&lt;&gt;"",INDEX(IHZ_HAZ_TOTALPACKA,154,1)&lt;&gt;"",INDEX(IHZ_HAZ_ADDITIONAL,154,1)&lt;&gt;"",INDEX(IHZ_HAZ_EMS,154,1)&lt;&gt;"",INDEX(IHZ_HAZ_SUBSIDIARY,154,1)&lt;&gt;"",INDEX(IHZ_HAZ_UNITTYPE,154,1)&lt;&gt;"",INDEX(IHZ_HAZ_TEUID,154,1)&lt;&gt;"",INDEX(IHZ_HAZ_LOCATION,154,1)&lt;&gt;"",INDEX(IHZ_HAZ_PACKAGES,154,1)&lt;&gt;"",INDEX(IHZ_HAZ_AMOUNT,154,1)&lt;&gt;"",),IF(OR(INDEX(IHZ_HAZ_DGCLASSIFI,154,1)="",INDEX(IHZ_HAZ_TEXTUALREF,154,1)="",INDEX(IHZ_HAZ_TOTAMOUNT,154,1)="",INDEX(IHZ_HAZ_DPGREF,154,1)="",INDEX(IHZ_HAZ_CONSIGNMENT,154,1)="",),FALSE,TRUE),TRUE)</f>
        <v>1</v>
      </c>
      <c r="H161" s="237" t="str">
        <f t="shared" si="5"/>
        <v>Row 154 - All mandatory fields must be given</v>
      </c>
      <c r="I161" s="236" t="s">
        <v>1853</v>
      </c>
      <c r="J161" s="52" t="b">
        <f>IF(OR(INDEX(OHZ_HAZ_CONSIGNMENT,154,1)&lt;&gt;"",INDEX(OHZ_HAZ_TRANSDOCID,154,1)&lt;&gt;"",INDEX(OHZ_HAZ_PORTOFLOADING,154,1)&lt;&gt;"",INDEX(OHZ_HAZ_PORTOFDISCHARGE,154,1)&lt;&gt;"",INDEX(OHZ_HAZ_DPGREF,154,1)&lt;&gt;"",INDEX(OHZ_HAZ_DGCLASSIFI,154,1)&lt;&gt;"",INDEX(OHZ_HAZ_TEXTUALREF,154,1)&lt;&gt;"",INDEX(OHZ_HAZ_IMOHAZARDC,154,1)&lt;&gt;"",INDEX(OHZ_HAZ_UNNUMBER,154,1)&lt;&gt;"",INDEX(OHZ_HAZ_TOTAMOUNT,154,1)&lt;&gt;"",INDEX(OHZ_HAZ_PACKINGGRO,154,1)&lt;&gt;"",INDEX(OHZ_HAZ_FLASHPOINT,154,1)&lt;&gt;"",INDEX(OHZ_HAZ_MARPOLCODE,154,1)&lt;&gt;"",INDEX(OHZ_HAZ_PACTYPE,154,1)&lt;&gt;"",INDEX(OHZ_HAZ_TOTALPACKA,154,1)&lt;&gt;"",INDEX(OHZ_HAZ_ADDITIONAL,154,1)&lt;&gt;"",INDEX(OHZ_HAZ_EMS,154,1)&lt;&gt;"",INDEX(OHZ_HAZ_SUBSIDIARY,154,1)&lt;&gt;"",INDEX(OHZ_HAZ_UNITTYPE,154,1)&lt;&gt;"",INDEX(OHZ_HAZ_TEUID,154,1)&lt;&gt;"",INDEX(OHZ_HAZ_LOCATION,154,1)&lt;&gt;"",INDEX(OHZ_HAZ_PACKAGES,154,1)&lt;&gt;"",INDEX(OHZ_HAZ_AMOUNT,154,1)&lt;&gt;"",),IF(OR(INDEX(OHZ_HAZ_DGCLASSIFI,154,1)="",INDEX(OHZ_HAZ_TEXTUALREF,154,1)="",INDEX(OHZ_HAZ_TOTAMOUNT,154,1)="",INDEX(OHZ_HAZ_DPGREF,154,1)="",INDEX(OHZ_HAZ_CONSIGNMENT,154,1)="",),FALSE,TRUE),TRUE)</f>
        <v>1</v>
      </c>
      <c r="K161" s="237" t="str">
        <f t="shared" si="6"/>
        <v>Row 154 - All mandatory fields must be given</v>
      </c>
      <c r="L161" s="236" t="s">
        <v>1853</v>
      </c>
      <c r="S161" s="52"/>
      <c r="T161" s="52" t="s">
        <v>2246</v>
      </c>
      <c r="V161" s="52"/>
    </row>
    <row r="162" spans="6:22">
      <c r="F162" s="236" t="s">
        <v>1853</v>
      </c>
      <c r="G162" s="250" t="b">
        <f>IF(OR(INDEX(IHZ_HAZ_CONSIGNMENT,155,1)&lt;&gt;"",INDEX(IHZ_HAZ_TRANSDOCID,155,1)&lt;&gt;"",INDEX(IHZ_HAZ_PORTOFLOADING,155,1)&lt;&gt;"",INDEX(IHZ_HAZ_PORTOFDISCHARGE,155,1)&lt;&gt;"",INDEX(IHZ_HAZ_DPGREF,155,1)&lt;&gt;"",INDEX(IHZ_HAZ_DGCLASSIFI,155,1)&lt;&gt;"",INDEX(IHZ_HAZ_TEXTUALREF,155,1)&lt;&gt;"",INDEX(IHZ_HAZ_IMOHAZARDC,155,1)&lt;&gt;"",INDEX(IHZ_HAZ_UNNUMBER,155,1)&lt;&gt;"",INDEX(IHZ_HAZ_TOTAMOUNT,155,1)&lt;&gt;"",INDEX(IHZ_HAZ_PACKINGGRO,155,1)&lt;&gt;"",INDEX(IHZ_HAZ_FLASHPOINT,155,1)&lt;&gt;"",INDEX(IHZ_HAZ_MARPOLCODE,155,1)&lt;&gt;"",INDEX(IHZ_HAZ_PACTYPE,155,1)&lt;&gt;"",INDEX(IHZ_HAZ_TOTALPACKA,155,1)&lt;&gt;"",INDEX(IHZ_HAZ_ADDITIONAL,155,1)&lt;&gt;"",INDEX(IHZ_HAZ_EMS,155,1)&lt;&gt;"",INDEX(IHZ_HAZ_SUBSIDIARY,155,1)&lt;&gt;"",INDEX(IHZ_HAZ_UNITTYPE,155,1)&lt;&gt;"",INDEX(IHZ_HAZ_TEUID,155,1)&lt;&gt;"",INDEX(IHZ_HAZ_LOCATION,155,1)&lt;&gt;"",INDEX(IHZ_HAZ_PACKAGES,155,1)&lt;&gt;"",INDEX(IHZ_HAZ_AMOUNT,155,1)&lt;&gt;"",),IF(OR(INDEX(IHZ_HAZ_DGCLASSIFI,155,1)="",INDEX(IHZ_HAZ_TEXTUALREF,155,1)="",INDEX(IHZ_HAZ_TOTAMOUNT,155,1)="",INDEX(IHZ_HAZ_DPGREF,155,1)="",INDEX(IHZ_HAZ_CONSIGNMENT,155,1)="",),FALSE,TRUE),TRUE)</f>
        <v>1</v>
      </c>
      <c r="H162" s="237" t="str">
        <f t="shared" si="5"/>
        <v>Row 155 - All mandatory fields must be given</v>
      </c>
      <c r="I162" s="236" t="s">
        <v>1853</v>
      </c>
      <c r="J162" s="52" t="b">
        <f>IF(OR(INDEX(OHZ_HAZ_CONSIGNMENT,155,1)&lt;&gt;"",INDEX(OHZ_HAZ_TRANSDOCID,155,1)&lt;&gt;"",INDEX(OHZ_HAZ_PORTOFLOADING,155,1)&lt;&gt;"",INDEX(OHZ_HAZ_PORTOFDISCHARGE,155,1)&lt;&gt;"",INDEX(OHZ_HAZ_DPGREF,155,1)&lt;&gt;"",INDEX(OHZ_HAZ_DGCLASSIFI,155,1)&lt;&gt;"",INDEX(OHZ_HAZ_TEXTUALREF,155,1)&lt;&gt;"",INDEX(OHZ_HAZ_IMOHAZARDC,155,1)&lt;&gt;"",INDEX(OHZ_HAZ_UNNUMBER,155,1)&lt;&gt;"",INDEX(OHZ_HAZ_TOTAMOUNT,155,1)&lt;&gt;"",INDEX(OHZ_HAZ_PACKINGGRO,155,1)&lt;&gt;"",INDEX(OHZ_HAZ_FLASHPOINT,155,1)&lt;&gt;"",INDEX(OHZ_HAZ_MARPOLCODE,155,1)&lt;&gt;"",INDEX(OHZ_HAZ_PACTYPE,155,1)&lt;&gt;"",INDEX(OHZ_HAZ_TOTALPACKA,155,1)&lt;&gt;"",INDEX(OHZ_HAZ_ADDITIONAL,155,1)&lt;&gt;"",INDEX(OHZ_HAZ_EMS,155,1)&lt;&gt;"",INDEX(OHZ_HAZ_SUBSIDIARY,155,1)&lt;&gt;"",INDEX(OHZ_HAZ_UNITTYPE,155,1)&lt;&gt;"",INDEX(OHZ_HAZ_TEUID,155,1)&lt;&gt;"",INDEX(OHZ_HAZ_LOCATION,155,1)&lt;&gt;"",INDEX(OHZ_HAZ_PACKAGES,155,1)&lt;&gt;"",INDEX(OHZ_HAZ_AMOUNT,155,1)&lt;&gt;"",),IF(OR(INDEX(OHZ_HAZ_DGCLASSIFI,155,1)="",INDEX(OHZ_HAZ_TEXTUALREF,155,1)="",INDEX(OHZ_HAZ_TOTAMOUNT,155,1)="",INDEX(OHZ_HAZ_DPGREF,155,1)="",INDEX(OHZ_HAZ_CONSIGNMENT,155,1)="",),FALSE,TRUE),TRUE)</f>
        <v>1</v>
      </c>
      <c r="K162" s="237" t="str">
        <f t="shared" si="6"/>
        <v>Row 155 - All mandatory fields must be given</v>
      </c>
      <c r="L162" s="236" t="s">
        <v>1853</v>
      </c>
      <c r="S162" s="52"/>
      <c r="T162" s="52" t="s">
        <v>2247</v>
      </c>
      <c r="V162" s="52"/>
    </row>
    <row r="163" spans="6:22">
      <c r="F163" s="236" t="s">
        <v>1853</v>
      </c>
      <c r="G163" s="250" t="b">
        <f>IF(OR(INDEX(IHZ_HAZ_CONSIGNMENT,156,1)&lt;&gt;"",INDEX(IHZ_HAZ_TRANSDOCID,156,1)&lt;&gt;"",INDEX(IHZ_HAZ_PORTOFLOADING,156,1)&lt;&gt;"",INDEX(IHZ_HAZ_PORTOFDISCHARGE,156,1)&lt;&gt;"",INDEX(IHZ_HAZ_DPGREF,156,1)&lt;&gt;"",INDEX(IHZ_HAZ_DGCLASSIFI,156,1)&lt;&gt;"",INDEX(IHZ_HAZ_TEXTUALREF,156,1)&lt;&gt;"",INDEX(IHZ_HAZ_IMOHAZARDC,156,1)&lt;&gt;"",INDEX(IHZ_HAZ_UNNUMBER,156,1)&lt;&gt;"",INDEX(IHZ_HAZ_TOTAMOUNT,156,1)&lt;&gt;"",INDEX(IHZ_HAZ_PACKINGGRO,156,1)&lt;&gt;"",INDEX(IHZ_HAZ_FLASHPOINT,156,1)&lt;&gt;"",INDEX(IHZ_HAZ_MARPOLCODE,156,1)&lt;&gt;"",INDEX(IHZ_HAZ_PACTYPE,156,1)&lt;&gt;"",INDEX(IHZ_HAZ_TOTALPACKA,156,1)&lt;&gt;"",INDEX(IHZ_HAZ_ADDITIONAL,156,1)&lt;&gt;"",INDEX(IHZ_HAZ_EMS,156,1)&lt;&gt;"",INDEX(IHZ_HAZ_SUBSIDIARY,156,1)&lt;&gt;"",INDEX(IHZ_HAZ_UNITTYPE,156,1)&lt;&gt;"",INDEX(IHZ_HAZ_TEUID,156,1)&lt;&gt;"",INDEX(IHZ_HAZ_LOCATION,156,1)&lt;&gt;"",INDEX(IHZ_HAZ_PACKAGES,156,1)&lt;&gt;"",INDEX(IHZ_HAZ_AMOUNT,156,1)&lt;&gt;"",),IF(OR(INDEX(IHZ_HAZ_DGCLASSIFI,156,1)="",INDEX(IHZ_HAZ_TEXTUALREF,156,1)="",INDEX(IHZ_HAZ_TOTAMOUNT,156,1)="",INDEX(IHZ_HAZ_DPGREF,156,1)="",INDEX(IHZ_HAZ_CONSIGNMENT,156,1)="",),FALSE,TRUE),TRUE)</f>
        <v>1</v>
      </c>
      <c r="H163" s="237" t="str">
        <f t="shared" si="5"/>
        <v>Row 156 - All mandatory fields must be given</v>
      </c>
      <c r="I163" s="236" t="s">
        <v>1853</v>
      </c>
      <c r="J163" s="52" t="b">
        <f>IF(OR(INDEX(OHZ_HAZ_CONSIGNMENT,156,1)&lt;&gt;"",INDEX(OHZ_HAZ_TRANSDOCID,156,1)&lt;&gt;"",INDEX(OHZ_HAZ_PORTOFLOADING,156,1)&lt;&gt;"",INDEX(OHZ_HAZ_PORTOFDISCHARGE,156,1)&lt;&gt;"",INDEX(OHZ_HAZ_DPGREF,156,1)&lt;&gt;"",INDEX(OHZ_HAZ_DGCLASSIFI,156,1)&lt;&gt;"",INDEX(OHZ_HAZ_TEXTUALREF,156,1)&lt;&gt;"",INDEX(OHZ_HAZ_IMOHAZARDC,156,1)&lt;&gt;"",INDEX(OHZ_HAZ_UNNUMBER,156,1)&lt;&gt;"",INDEX(OHZ_HAZ_TOTAMOUNT,156,1)&lt;&gt;"",INDEX(OHZ_HAZ_PACKINGGRO,156,1)&lt;&gt;"",INDEX(OHZ_HAZ_FLASHPOINT,156,1)&lt;&gt;"",INDEX(OHZ_HAZ_MARPOLCODE,156,1)&lt;&gt;"",INDEX(OHZ_HAZ_PACTYPE,156,1)&lt;&gt;"",INDEX(OHZ_HAZ_TOTALPACKA,156,1)&lt;&gt;"",INDEX(OHZ_HAZ_ADDITIONAL,156,1)&lt;&gt;"",INDEX(OHZ_HAZ_EMS,156,1)&lt;&gt;"",INDEX(OHZ_HAZ_SUBSIDIARY,156,1)&lt;&gt;"",INDEX(OHZ_HAZ_UNITTYPE,156,1)&lt;&gt;"",INDEX(OHZ_HAZ_TEUID,156,1)&lt;&gt;"",INDEX(OHZ_HAZ_LOCATION,156,1)&lt;&gt;"",INDEX(OHZ_HAZ_PACKAGES,156,1)&lt;&gt;"",INDEX(OHZ_HAZ_AMOUNT,156,1)&lt;&gt;"",),IF(OR(INDEX(OHZ_HAZ_DGCLASSIFI,156,1)="",INDEX(OHZ_HAZ_TEXTUALREF,156,1)="",INDEX(OHZ_HAZ_TOTAMOUNT,156,1)="",INDEX(OHZ_HAZ_DPGREF,156,1)="",INDEX(OHZ_HAZ_CONSIGNMENT,156,1)="",),FALSE,TRUE),TRUE)</f>
        <v>1</v>
      </c>
      <c r="K163" s="237" t="str">
        <f t="shared" si="6"/>
        <v>Row 156 - All mandatory fields must be given</v>
      </c>
      <c r="L163" s="236" t="s">
        <v>1853</v>
      </c>
      <c r="S163" s="52"/>
      <c r="T163" s="52" t="s">
        <v>2248</v>
      </c>
      <c r="V163" s="52"/>
    </row>
    <row r="164" spans="6:22">
      <c r="F164" s="236" t="s">
        <v>1853</v>
      </c>
      <c r="G164" s="250" t="b">
        <f>IF(OR(INDEX(IHZ_HAZ_CONSIGNMENT,157,1)&lt;&gt;"",INDEX(IHZ_HAZ_TRANSDOCID,157,1)&lt;&gt;"",INDEX(IHZ_HAZ_PORTOFLOADING,157,1)&lt;&gt;"",INDEX(IHZ_HAZ_PORTOFDISCHARGE,157,1)&lt;&gt;"",INDEX(IHZ_HAZ_DPGREF,157,1)&lt;&gt;"",INDEX(IHZ_HAZ_DGCLASSIFI,157,1)&lt;&gt;"",INDEX(IHZ_HAZ_TEXTUALREF,157,1)&lt;&gt;"",INDEX(IHZ_HAZ_IMOHAZARDC,157,1)&lt;&gt;"",INDEX(IHZ_HAZ_UNNUMBER,157,1)&lt;&gt;"",INDEX(IHZ_HAZ_TOTAMOUNT,157,1)&lt;&gt;"",INDEX(IHZ_HAZ_PACKINGGRO,157,1)&lt;&gt;"",INDEX(IHZ_HAZ_FLASHPOINT,157,1)&lt;&gt;"",INDEX(IHZ_HAZ_MARPOLCODE,157,1)&lt;&gt;"",INDEX(IHZ_HAZ_PACTYPE,157,1)&lt;&gt;"",INDEX(IHZ_HAZ_TOTALPACKA,157,1)&lt;&gt;"",INDEX(IHZ_HAZ_ADDITIONAL,157,1)&lt;&gt;"",INDEX(IHZ_HAZ_EMS,157,1)&lt;&gt;"",INDEX(IHZ_HAZ_SUBSIDIARY,157,1)&lt;&gt;"",INDEX(IHZ_HAZ_UNITTYPE,157,1)&lt;&gt;"",INDEX(IHZ_HAZ_TEUID,157,1)&lt;&gt;"",INDEX(IHZ_HAZ_LOCATION,157,1)&lt;&gt;"",INDEX(IHZ_HAZ_PACKAGES,157,1)&lt;&gt;"",INDEX(IHZ_HAZ_AMOUNT,157,1)&lt;&gt;"",),IF(OR(INDEX(IHZ_HAZ_DGCLASSIFI,157,1)="",INDEX(IHZ_HAZ_TEXTUALREF,157,1)="",INDEX(IHZ_HAZ_TOTAMOUNT,157,1)="",INDEX(IHZ_HAZ_DPGREF,157,1)="",INDEX(IHZ_HAZ_CONSIGNMENT,157,1)="",),FALSE,TRUE),TRUE)</f>
        <v>1</v>
      </c>
      <c r="H164" s="237" t="str">
        <f t="shared" si="5"/>
        <v>Row 157 - All mandatory fields must be given</v>
      </c>
      <c r="I164" s="236" t="s">
        <v>1853</v>
      </c>
      <c r="J164" s="52" t="b">
        <f>IF(OR(INDEX(OHZ_HAZ_CONSIGNMENT,157,1)&lt;&gt;"",INDEX(OHZ_HAZ_TRANSDOCID,157,1)&lt;&gt;"",INDEX(OHZ_HAZ_PORTOFLOADING,157,1)&lt;&gt;"",INDEX(OHZ_HAZ_PORTOFDISCHARGE,157,1)&lt;&gt;"",INDEX(OHZ_HAZ_DPGREF,157,1)&lt;&gt;"",INDEX(OHZ_HAZ_DGCLASSIFI,157,1)&lt;&gt;"",INDEX(OHZ_HAZ_TEXTUALREF,157,1)&lt;&gt;"",INDEX(OHZ_HAZ_IMOHAZARDC,157,1)&lt;&gt;"",INDEX(OHZ_HAZ_UNNUMBER,157,1)&lt;&gt;"",INDEX(OHZ_HAZ_TOTAMOUNT,157,1)&lt;&gt;"",INDEX(OHZ_HAZ_PACKINGGRO,157,1)&lt;&gt;"",INDEX(OHZ_HAZ_FLASHPOINT,157,1)&lt;&gt;"",INDEX(OHZ_HAZ_MARPOLCODE,157,1)&lt;&gt;"",INDEX(OHZ_HAZ_PACTYPE,157,1)&lt;&gt;"",INDEX(OHZ_HAZ_TOTALPACKA,157,1)&lt;&gt;"",INDEX(OHZ_HAZ_ADDITIONAL,157,1)&lt;&gt;"",INDEX(OHZ_HAZ_EMS,157,1)&lt;&gt;"",INDEX(OHZ_HAZ_SUBSIDIARY,157,1)&lt;&gt;"",INDEX(OHZ_HAZ_UNITTYPE,157,1)&lt;&gt;"",INDEX(OHZ_HAZ_TEUID,157,1)&lt;&gt;"",INDEX(OHZ_HAZ_LOCATION,157,1)&lt;&gt;"",INDEX(OHZ_HAZ_PACKAGES,157,1)&lt;&gt;"",INDEX(OHZ_HAZ_AMOUNT,157,1)&lt;&gt;"",),IF(OR(INDEX(OHZ_HAZ_DGCLASSIFI,157,1)="",INDEX(OHZ_HAZ_TEXTUALREF,157,1)="",INDEX(OHZ_HAZ_TOTAMOUNT,157,1)="",INDEX(OHZ_HAZ_DPGREF,157,1)="",INDEX(OHZ_HAZ_CONSIGNMENT,157,1)="",),FALSE,TRUE),TRUE)</f>
        <v>1</v>
      </c>
      <c r="K164" s="237" t="str">
        <f t="shared" si="6"/>
        <v>Row 157 - All mandatory fields must be given</v>
      </c>
      <c r="L164" s="236" t="s">
        <v>1853</v>
      </c>
      <c r="S164" s="52"/>
      <c r="T164" s="52" t="s">
        <v>2249</v>
      </c>
      <c r="V164" s="52"/>
    </row>
    <row r="165" spans="6:22">
      <c r="F165" s="236" t="s">
        <v>1853</v>
      </c>
      <c r="G165" s="250" t="b">
        <f>IF(OR(INDEX(IHZ_HAZ_CONSIGNMENT,158,1)&lt;&gt;"",INDEX(IHZ_HAZ_TRANSDOCID,158,1)&lt;&gt;"",INDEX(IHZ_HAZ_PORTOFLOADING,158,1)&lt;&gt;"",INDEX(IHZ_HAZ_PORTOFDISCHARGE,158,1)&lt;&gt;"",INDEX(IHZ_HAZ_DPGREF,158,1)&lt;&gt;"",INDEX(IHZ_HAZ_DGCLASSIFI,158,1)&lt;&gt;"",INDEX(IHZ_HAZ_TEXTUALREF,158,1)&lt;&gt;"",INDEX(IHZ_HAZ_IMOHAZARDC,158,1)&lt;&gt;"",INDEX(IHZ_HAZ_UNNUMBER,158,1)&lt;&gt;"",INDEX(IHZ_HAZ_TOTAMOUNT,158,1)&lt;&gt;"",INDEX(IHZ_HAZ_PACKINGGRO,158,1)&lt;&gt;"",INDEX(IHZ_HAZ_FLASHPOINT,158,1)&lt;&gt;"",INDEX(IHZ_HAZ_MARPOLCODE,158,1)&lt;&gt;"",INDEX(IHZ_HAZ_PACTYPE,158,1)&lt;&gt;"",INDEX(IHZ_HAZ_TOTALPACKA,158,1)&lt;&gt;"",INDEX(IHZ_HAZ_ADDITIONAL,158,1)&lt;&gt;"",INDEX(IHZ_HAZ_EMS,158,1)&lt;&gt;"",INDEX(IHZ_HAZ_SUBSIDIARY,158,1)&lt;&gt;"",INDEX(IHZ_HAZ_UNITTYPE,158,1)&lt;&gt;"",INDEX(IHZ_HAZ_TEUID,158,1)&lt;&gt;"",INDEX(IHZ_HAZ_LOCATION,158,1)&lt;&gt;"",INDEX(IHZ_HAZ_PACKAGES,158,1)&lt;&gt;"",INDEX(IHZ_HAZ_AMOUNT,158,1)&lt;&gt;"",),IF(OR(INDEX(IHZ_HAZ_DGCLASSIFI,158,1)="",INDEX(IHZ_HAZ_TEXTUALREF,158,1)="",INDEX(IHZ_HAZ_TOTAMOUNT,158,1)="",INDEX(IHZ_HAZ_DPGREF,158,1)="",INDEX(IHZ_HAZ_CONSIGNMENT,158,1)="",),FALSE,TRUE),TRUE)</f>
        <v>1</v>
      </c>
      <c r="H165" s="237" t="str">
        <f t="shared" si="5"/>
        <v>Row 158 - All mandatory fields must be given</v>
      </c>
      <c r="I165" s="236" t="s">
        <v>1853</v>
      </c>
      <c r="J165" s="52" t="b">
        <f>IF(OR(INDEX(OHZ_HAZ_CONSIGNMENT,158,1)&lt;&gt;"",INDEX(OHZ_HAZ_TRANSDOCID,158,1)&lt;&gt;"",INDEX(OHZ_HAZ_PORTOFLOADING,158,1)&lt;&gt;"",INDEX(OHZ_HAZ_PORTOFDISCHARGE,158,1)&lt;&gt;"",INDEX(OHZ_HAZ_DPGREF,158,1)&lt;&gt;"",INDEX(OHZ_HAZ_DGCLASSIFI,158,1)&lt;&gt;"",INDEX(OHZ_HAZ_TEXTUALREF,158,1)&lt;&gt;"",INDEX(OHZ_HAZ_IMOHAZARDC,158,1)&lt;&gt;"",INDEX(OHZ_HAZ_UNNUMBER,158,1)&lt;&gt;"",INDEX(OHZ_HAZ_TOTAMOUNT,158,1)&lt;&gt;"",INDEX(OHZ_HAZ_PACKINGGRO,158,1)&lt;&gt;"",INDEX(OHZ_HAZ_FLASHPOINT,158,1)&lt;&gt;"",INDEX(OHZ_HAZ_MARPOLCODE,158,1)&lt;&gt;"",INDEX(OHZ_HAZ_PACTYPE,158,1)&lt;&gt;"",INDEX(OHZ_HAZ_TOTALPACKA,158,1)&lt;&gt;"",INDEX(OHZ_HAZ_ADDITIONAL,158,1)&lt;&gt;"",INDEX(OHZ_HAZ_EMS,158,1)&lt;&gt;"",INDEX(OHZ_HAZ_SUBSIDIARY,158,1)&lt;&gt;"",INDEX(OHZ_HAZ_UNITTYPE,158,1)&lt;&gt;"",INDEX(OHZ_HAZ_TEUID,158,1)&lt;&gt;"",INDEX(OHZ_HAZ_LOCATION,158,1)&lt;&gt;"",INDEX(OHZ_HAZ_PACKAGES,158,1)&lt;&gt;"",INDEX(OHZ_HAZ_AMOUNT,158,1)&lt;&gt;"",),IF(OR(INDEX(OHZ_HAZ_DGCLASSIFI,158,1)="",INDEX(OHZ_HAZ_TEXTUALREF,158,1)="",INDEX(OHZ_HAZ_TOTAMOUNT,158,1)="",INDEX(OHZ_HAZ_DPGREF,158,1)="",INDEX(OHZ_HAZ_CONSIGNMENT,158,1)="",),FALSE,TRUE),TRUE)</f>
        <v>1</v>
      </c>
      <c r="K165" s="237" t="str">
        <f t="shared" si="6"/>
        <v>Row 158 - All mandatory fields must be given</v>
      </c>
      <c r="L165" s="236" t="s">
        <v>1853</v>
      </c>
      <c r="S165" s="52"/>
      <c r="T165" s="52" t="s">
        <v>2250</v>
      </c>
      <c r="V165" s="52"/>
    </row>
    <row r="166" spans="6:22">
      <c r="F166" s="236" t="s">
        <v>1853</v>
      </c>
      <c r="G166" s="250" t="b">
        <f>IF(OR(INDEX(IHZ_HAZ_CONSIGNMENT,159,1)&lt;&gt;"",INDEX(IHZ_HAZ_TRANSDOCID,159,1)&lt;&gt;"",INDEX(IHZ_HAZ_PORTOFLOADING,159,1)&lt;&gt;"",INDEX(IHZ_HAZ_PORTOFDISCHARGE,159,1)&lt;&gt;"",INDEX(IHZ_HAZ_DPGREF,159,1)&lt;&gt;"",INDEX(IHZ_HAZ_DGCLASSIFI,159,1)&lt;&gt;"",INDEX(IHZ_HAZ_TEXTUALREF,159,1)&lt;&gt;"",INDEX(IHZ_HAZ_IMOHAZARDC,159,1)&lt;&gt;"",INDEX(IHZ_HAZ_UNNUMBER,159,1)&lt;&gt;"",INDEX(IHZ_HAZ_TOTAMOUNT,159,1)&lt;&gt;"",INDEX(IHZ_HAZ_PACKINGGRO,159,1)&lt;&gt;"",INDEX(IHZ_HAZ_FLASHPOINT,159,1)&lt;&gt;"",INDEX(IHZ_HAZ_MARPOLCODE,159,1)&lt;&gt;"",INDEX(IHZ_HAZ_PACTYPE,159,1)&lt;&gt;"",INDEX(IHZ_HAZ_TOTALPACKA,159,1)&lt;&gt;"",INDEX(IHZ_HAZ_ADDITIONAL,159,1)&lt;&gt;"",INDEX(IHZ_HAZ_EMS,159,1)&lt;&gt;"",INDEX(IHZ_HAZ_SUBSIDIARY,159,1)&lt;&gt;"",INDEX(IHZ_HAZ_UNITTYPE,159,1)&lt;&gt;"",INDEX(IHZ_HAZ_TEUID,159,1)&lt;&gt;"",INDEX(IHZ_HAZ_LOCATION,159,1)&lt;&gt;"",INDEX(IHZ_HAZ_PACKAGES,159,1)&lt;&gt;"",INDEX(IHZ_HAZ_AMOUNT,159,1)&lt;&gt;"",),IF(OR(INDEX(IHZ_HAZ_DGCLASSIFI,159,1)="",INDEX(IHZ_HAZ_TEXTUALREF,159,1)="",INDEX(IHZ_HAZ_TOTAMOUNT,159,1)="",INDEX(IHZ_HAZ_DPGREF,159,1)="",INDEX(IHZ_HAZ_CONSIGNMENT,159,1)="",),FALSE,TRUE),TRUE)</f>
        <v>1</v>
      </c>
      <c r="H166" s="237" t="str">
        <f t="shared" si="5"/>
        <v>Row 159 - All mandatory fields must be given</v>
      </c>
      <c r="I166" s="236" t="s">
        <v>1853</v>
      </c>
      <c r="J166" s="52" t="b">
        <f>IF(OR(INDEX(OHZ_HAZ_CONSIGNMENT,159,1)&lt;&gt;"",INDEX(OHZ_HAZ_TRANSDOCID,159,1)&lt;&gt;"",INDEX(OHZ_HAZ_PORTOFLOADING,159,1)&lt;&gt;"",INDEX(OHZ_HAZ_PORTOFDISCHARGE,159,1)&lt;&gt;"",INDEX(OHZ_HAZ_DPGREF,159,1)&lt;&gt;"",INDEX(OHZ_HAZ_DGCLASSIFI,159,1)&lt;&gt;"",INDEX(OHZ_HAZ_TEXTUALREF,159,1)&lt;&gt;"",INDEX(OHZ_HAZ_IMOHAZARDC,159,1)&lt;&gt;"",INDEX(OHZ_HAZ_UNNUMBER,159,1)&lt;&gt;"",INDEX(OHZ_HAZ_TOTAMOUNT,159,1)&lt;&gt;"",INDEX(OHZ_HAZ_PACKINGGRO,159,1)&lt;&gt;"",INDEX(OHZ_HAZ_FLASHPOINT,159,1)&lt;&gt;"",INDEX(OHZ_HAZ_MARPOLCODE,159,1)&lt;&gt;"",INDEX(OHZ_HAZ_PACTYPE,159,1)&lt;&gt;"",INDEX(OHZ_HAZ_TOTALPACKA,159,1)&lt;&gt;"",INDEX(OHZ_HAZ_ADDITIONAL,159,1)&lt;&gt;"",INDEX(OHZ_HAZ_EMS,159,1)&lt;&gt;"",INDEX(OHZ_HAZ_SUBSIDIARY,159,1)&lt;&gt;"",INDEX(OHZ_HAZ_UNITTYPE,159,1)&lt;&gt;"",INDEX(OHZ_HAZ_TEUID,159,1)&lt;&gt;"",INDEX(OHZ_HAZ_LOCATION,159,1)&lt;&gt;"",INDEX(OHZ_HAZ_PACKAGES,159,1)&lt;&gt;"",INDEX(OHZ_HAZ_AMOUNT,159,1)&lt;&gt;"",),IF(OR(INDEX(OHZ_HAZ_DGCLASSIFI,159,1)="",INDEX(OHZ_HAZ_TEXTUALREF,159,1)="",INDEX(OHZ_HAZ_TOTAMOUNT,159,1)="",INDEX(OHZ_HAZ_DPGREF,159,1)="",INDEX(OHZ_HAZ_CONSIGNMENT,159,1)="",),FALSE,TRUE),TRUE)</f>
        <v>1</v>
      </c>
      <c r="K166" s="237" t="str">
        <f t="shared" si="6"/>
        <v>Row 159 - All mandatory fields must be given</v>
      </c>
      <c r="L166" s="236" t="s">
        <v>1853</v>
      </c>
      <c r="S166" s="52"/>
      <c r="T166" s="52" t="s">
        <v>2251</v>
      </c>
      <c r="V166" s="52"/>
    </row>
    <row r="167" spans="6:22">
      <c r="F167" s="236" t="s">
        <v>1853</v>
      </c>
      <c r="G167" s="250" t="b">
        <f>IF(OR(INDEX(IHZ_HAZ_CONSIGNMENT,160,1)&lt;&gt;"",INDEX(IHZ_HAZ_TRANSDOCID,160,1)&lt;&gt;"",INDEX(IHZ_HAZ_PORTOFLOADING,160,1)&lt;&gt;"",INDEX(IHZ_HAZ_PORTOFDISCHARGE,160,1)&lt;&gt;"",INDEX(IHZ_HAZ_DPGREF,160,1)&lt;&gt;"",INDEX(IHZ_HAZ_DGCLASSIFI,160,1)&lt;&gt;"",INDEX(IHZ_HAZ_TEXTUALREF,160,1)&lt;&gt;"",INDEX(IHZ_HAZ_IMOHAZARDC,160,1)&lt;&gt;"",INDEX(IHZ_HAZ_UNNUMBER,160,1)&lt;&gt;"",INDEX(IHZ_HAZ_TOTAMOUNT,160,1)&lt;&gt;"",INDEX(IHZ_HAZ_PACKINGGRO,160,1)&lt;&gt;"",INDEX(IHZ_HAZ_FLASHPOINT,160,1)&lt;&gt;"",INDEX(IHZ_HAZ_MARPOLCODE,160,1)&lt;&gt;"",INDEX(IHZ_HAZ_PACTYPE,160,1)&lt;&gt;"",INDEX(IHZ_HAZ_TOTALPACKA,160,1)&lt;&gt;"",INDEX(IHZ_HAZ_ADDITIONAL,160,1)&lt;&gt;"",INDEX(IHZ_HAZ_EMS,160,1)&lt;&gt;"",INDEX(IHZ_HAZ_SUBSIDIARY,160,1)&lt;&gt;"",INDEX(IHZ_HAZ_UNITTYPE,160,1)&lt;&gt;"",INDEX(IHZ_HAZ_TEUID,160,1)&lt;&gt;"",INDEX(IHZ_HAZ_LOCATION,160,1)&lt;&gt;"",INDEX(IHZ_HAZ_PACKAGES,160,1)&lt;&gt;"",INDEX(IHZ_HAZ_AMOUNT,160,1)&lt;&gt;"",),IF(OR(INDEX(IHZ_HAZ_DGCLASSIFI,160,1)="",INDEX(IHZ_HAZ_TEXTUALREF,160,1)="",INDEX(IHZ_HAZ_TOTAMOUNT,160,1)="",INDEX(IHZ_HAZ_DPGREF,160,1)="",INDEX(IHZ_HAZ_CONSIGNMENT,160,1)="",),FALSE,TRUE),TRUE)</f>
        <v>1</v>
      </c>
      <c r="H167" s="237" t="str">
        <f t="shared" si="5"/>
        <v>Row 160 - All mandatory fields must be given</v>
      </c>
      <c r="I167" s="236" t="s">
        <v>1853</v>
      </c>
      <c r="J167" s="52" t="b">
        <f>IF(OR(INDEX(OHZ_HAZ_CONSIGNMENT,160,1)&lt;&gt;"",INDEX(OHZ_HAZ_TRANSDOCID,160,1)&lt;&gt;"",INDEX(OHZ_HAZ_PORTOFLOADING,160,1)&lt;&gt;"",INDEX(OHZ_HAZ_PORTOFDISCHARGE,160,1)&lt;&gt;"",INDEX(OHZ_HAZ_DPGREF,160,1)&lt;&gt;"",INDEX(OHZ_HAZ_DGCLASSIFI,160,1)&lt;&gt;"",INDEX(OHZ_HAZ_TEXTUALREF,160,1)&lt;&gt;"",INDEX(OHZ_HAZ_IMOHAZARDC,160,1)&lt;&gt;"",INDEX(OHZ_HAZ_UNNUMBER,160,1)&lt;&gt;"",INDEX(OHZ_HAZ_TOTAMOUNT,160,1)&lt;&gt;"",INDEX(OHZ_HAZ_PACKINGGRO,160,1)&lt;&gt;"",INDEX(OHZ_HAZ_FLASHPOINT,160,1)&lt;&gt;"",INDEX(OHZ_HAZ_MARPOLCODE,160,1)&lt;&gt;"",INDEX(OHZ_HAZ_PACTYPE,160,1)&lt;&gt;"",INDEX(OHZ_HAZ_TOTALPACKA,160,1)&lt;&gt;"",INDEX(OHZ_HAZ_ADDITIONAL,160,1)&lt;&gt;"",INDEX(OHZ_HAZ_EMS,160,1)&lt;&gt;"",INDEX(OHZ_HAZ_SUBSIDIARY,160,1)&lt;&gt;"",INDEX(OHZ_HAZ_UNITTYPE,160,1)&lt;&gt;"",INDEX(OHZ_HAZ_TEUID,160,1)&lt;&gt;"",INDEX(OHZ_HAZ_LOCATION,160,1)&lt;&gt;"",INDEX(OHZ_HAZ_PACKAGES,160,1)&lt;&gt;"",INDEX(OHZ_HAZ_AMOUNT,160,1)&lt;&gt;"",),IF(OR(INDEX(OHZ_HAZ_DGCLASSIFI,160,1)="",INDEX(OHZ_HAZ_TEXTUALREF,160,1)="",INDEX(OHZ_HAZ_TOTAMOUNT,160,1)="",INDEX(OHZ_HAZ_DPGREF,160,1)="",INDEX(OHZ_HAZ_CONSIGNMENT,160,1)="",),FALSE,TRUE),TRUE)</f>
        <v>1</v>
      </c>
      <c r="K167" s="237" t="str">
        <f t="shared" si="6"/>
        <v>Row 160 - All mandatory fields must be given</v>
      </c>
      <c r="L167" s="236" t="s">
        <v>1853</v>
      </c>
      <c r="S167" s="52"/>
      <c r="T167" s="52" t="s">
        <v>2252</v>
      </c>
      <c r="V167" s="52"/>
    </row>
    <row r="168" spans="6:22">
      <c r="F168" s="236" t="s">
        <v>1853</v>
      </c>
      <c r="G168" s="250" t="b">
        <f>IF(OR(INDEX(IHZ_HAZ_CONSIGNMENT,161,1)&lt;&gt;"",INDEX(IHZ_HAZ_TRANSDOCID,161,1)&lt;&gt;"",INDEX(IHZ_HAZ_PORTOFLOADING,161,1)&lt;&gt;"",INDEX(IHZ_HAZ_PORTOFDISCHARGE,161,1)&lt;&gt;"",INDEX(IHZ_HAZ_DPGREF,161,1)&lt;&gt;"",INDEX(IHZ_HAZ_DGCLASSIFI,161,1)&lt;&gt;"",INDEX(IHZ_HAZ_TEXTUALREF,161,1)&lt;&gt;"",INDEX(IHZ_HAZ_IMOHAZARDC,161,1)&lt;&gt;"",INDEX(IHZ_HAZ_UNNUMBER,161,1)&lt;&gt;"",INDEX(IHZ_HAZ_TOTAMOUNT,161,1)&lt;&gt;"",INDEX(IHZ_HAZ_PACKINGGRO,161,1)&lt;&gt;"",INDEX(IHZ_HAZ_FLASHPOINT,161,1)&lt;&gt;"",INDEX(IHZ_HAZ_MARPOLCODE,161,1)&lt;&gt;"",INDEX(IHZ_HAZ_PACTYPE,161,1)&lt;&gt;"",INDEX(IHZ_HAZ_TOTALPACKA,161,1)&lt;&gt;"",INDEX(IHZ_HAZ_ADDITIONAL,161,1)&lt;&gt;"",INDEX(IHZ_HAZ_EMS,161,1)&lt;&gt;"",INDEX(IHZ_HAZ_SUBSIDIARY,161,1)&lt;&gt;"",INDEX(IHZ_HAZ_UNITTYPE,161,1)&lt;&gt;"",INDEX(IHZ_HAZ_TEUID,161,1)&lt;&gt;"",INDEX(IHZ_HAZ_LOCATION,161,1)&lt;&gt;"",INDEX(IHZ_HAZ_PACKAGES,161,1)&lt;&gt;"",INDEX(IHZ_HAZ_AMOUNT,161,1)&lt;&gt;"",),IF(OR(INDEX(IHZ_HAZ_DGCLASSIFI,161,1)="",INDEX(IHZ_HAZ_TEXTUALREF,161,1)="",INDEX(IHZ_HAZ_TOTAMOUNT,161,1)="",INDEX(IHZ_HAZ_DPGREF,161,1)="",INDEX(IHZ_HAZ_CONSIGNMENT,161,1)="",),FALSE,TRUE),TRUE)</f>
        <v>1</v>
      </c>
      <c r="H168" s="237" t="str">
        <f t="shared" si="5"/>
        <v>Row 161 - All mandatory fields must be given</v>
      </c>
      <c r="I168" s="236" t="s">
        <v>1853</v>
      </c>
      <c r="J168" s="52" t="b">
        <f>IF(OR(INDEX(OHZ_HAZ_CONSIGNMENT,161,1)&lt;&gt;"",INDEX(OHZ_HAZ_TRANSDOCID,161,1)&lt;&gt;"",INDEX(OHZ_HAZ_PORTOFLOADING,161,1)&lt;&gt;"",INDEX(OHZ_HAZ_PORTOFDISCHARGE,161,1)&lt;&gt;"",INDEX(OHZ_HAZ_DPGREF,161,1)&lt;&gt;"",INDEX(OHZ_HAZ_DGCLASSIFI,161,1)&lt;&gt;"",INDEX(OHZ_HAZ_TEXTUALREF,161,1)&lt;&gt;"",INDEX(OHZ_HAZ_IMOHAZARDC,161,1)&lt;&gt;"",INDEX(OHZ_HAZ_UNNUMBER,161,1)&lt;&gt;"",INDEX(OHZ_HAZ_TOTAMOUNT,161,1)&lt;&gt;"",INDEX(OHZ_HAZ_PACKINGGRO,161,1)&lt;&gt;"",INDEX(OHZ_HAZ_FLASHPOINT,161,1)&lt;&gt;"",INDEX(OHZ_HAZ_MARPOLCODE,161,1)&lt;&gt;"",INDEX(OHZ_HAZ_PACTYPE,161,1)&lt;&gt;"",INDEX(OHZ_HAZ_TOTALPACKA,161,1)&lt;&gt;"",INDEX(OHZ_HAZ_ADDITIONAL,161,1)&lt;&gt;"",INDEX(OHZ_HAZ_EMS,161,1)&lt;&gt;"",INDEX(OHZ_HAZ_SUBSIDIARY,161,1)&lt;&gt;"",INDEX(OHZ_HAZ_UNITTYPE,161,1)&lt;&gt;"",INDEX(OHZ_HAZ_TEUID,161,1)&lt;&gt;"",INDEX(OHZ_HAZ_LOCATION,161,1)&lt;&gt;"",INDEX(OHZ_HAZ_PACKAGES,161,1)&lt;&gt;"",INDEX(OHZ_HAZ_AMOUNT,161,1)&lt;&gt;"",),IF(OR(INDEX(OHZ_HAZ_DGCLASSIFI,161,1)="",INDEX(OHZ_HAZ_TEXTUALREF,161,1)="",INDEX(OHZ_HAZ_TOTAMOUNT,161,1)="",INDEX(OHZ_HAZ_DPGREF,161,1)="",INDEX(OHZ_HAZ_CONSIGNMENT,161,1)="",),FALSE,TRUE),TRUE)</f>
        <v>1</v>
      </c>
      <c r="K168" s="237" t="str">
        <f t="shared" si="6"/>
        <v>Row 161 - All mandatory fields must be given</v>
      </c>
      <c r="L168" s="236" t="s">
        <v>1853</v>
      </c>
      <c r="S168" s="52"/>
      <c r="T168" s="52" t="s">
        <v>2253</v>
      </c>
      <c r="V168" s="52"/>
    </row>
    <row r="169" spans="6:22">
      <c r="F169" s="236" t="s">
        <v>1853</v>
      </c>
      <c r="G169" s="250" t="b">
        <f>IF(OR(INDEX(IHZ_HAZ_CONSIGNMENT,162,1)&lt;&gt;"",INDEX(IHZ_HAZ_TRANSDOCID,162,1)&lt;&gt;"",INDEX(IHZ_HAZ_PORTOFLOADING,162,1)&lt;&gt;"",INDEX(IHZ_HAZ_PORTOFDISCHARGE,162,1)&lt;&gt;"",INDEX(IHZ_HAZ_DPGREF,162,1)&lt;&gt;"",INDEX(IHZ_HAZ_DGCLASSIFI,162,1)&lt;&gt;"",INDEX(IHZ_HAZ_TEXTUALREF,162,1)&lt;&gt;"",INDEX(IHZ_HAZ_IMOHAZARDC,162,1)&lt;&gt;"",INDEX(IHZ_HAZ_UNNUMBER,162,1)&lt;&gt;"",INDEX(IHZ_HAZ_TOTAMOUNT,162,1)&lt;&gt;"",INDEX(IHZ_HAZ_PACKINGGRO,162,1)&lt;&gt;"",INDEX(IHZ_HAZ_FLASHPOINT,162,1)&lt;&gt;"",INDEX(IHZ_HAZ_MARPOLCODE,162,1)&lt;&gt;"",INDEX(IHZ_HAZ_PACTYPE,162,1)&lt;&gt;"",INDEX(IHZ_HAZ_TOTALPACKA,162,1)&lt;&gt;"",INDEX(IHZ_HAZ_ADDITIONAL,162,1)&lt;&gt;"",INDEX(IHZ_HAZ_EMS,162,1)&lt;&gt;"",INDEX(IHZ_HAZ_SUBSIDIARY,162,1)&lt;&gt;"",INDEX(IHZ_HAZ_UNITTYPE,162,1)&lt;&gt;"",INDEX(IHZ_HAZ_TEUID,162,1)&lt;&gt;"",INDEX(IHZ_HAZ_LOCATION,162,1)&lt;&gt;"",INDEX(IHZ_HAZ_PACKAGES,162,1)&lt;&gt;"",INDEX(IHZ_HAZ_AMOUNT,162,1)&lt;&gt;"",),IF(OR(INDEX(IHZ_HAZ_DGCLASSIFI,162,1)="",INDEX(IHZ_HAZ_TEXTUALREF,162,1)="",INDEX(IHZ_HAZ_TOTAMOUNT,162,1)="",INDEX(IHZ_HAZ_DPGREF,162,1)="",INDEX(IHZ_HAZ_CONSIGNMENT,162,1)="",),FALSE,TRUE),TRUE)</f>
        <v>1</v>
      </c>
      <c r="H169" s="237" t="str">
        <f t="shared" si="5"/>
        <v>Row 162 - All mandatory fields must be given</v>
      </c>
      <c r="I169" s="236" t="s">
        <v>1853</v>
      </c>
      <c r="J169" s="52" t="b">
        <f>IF(OR(INDEX(OHZ_HAZ_CONSIGNMENT,162,1)&lt;&gt;"",INDEX(OHZ_HAZ_TRANSDOCID,162,1)&lt;&gt;"",INDEX(OHZ_HAZ_PORTOFLOADING,162,1)&lt;&gt;"",INDEX(OHZ_HAZ_PORTOFDISCHARGE,162,1)&lt;&gt;"",INDEX(OHZ_HAZ_DPGREF,162,1)&lt;&gt;"",INDEX(OHZ_HAZ_DGCLASSIFI,162,1)&lt;&gt;"",INDEX(OHZ_HAZ_TEXTUALREF,162,1)&lt;&gt;"",INDEX(OHZ_HAZ_IMOHAZARDC,162,1)&lt;&gt;"",INDEX(OHZ_HAZ_UNNUMBER,162,1)&lt;&gt;"",INDEX(OHZ_HAZ_TOTAMOUNT,162,1)&lt;&gt;"",INDEX(OHZ_HAZ_PACKINGGRO,162,1)&lt;&gt;"",INDEX(OHZ_HAZ_FLASHPOINT,162,1)&lt;&gt;"",INDEX(OHZ_HAZ_MARPOLCODE,162,1)&lt;&gt;"",INDEX(OHZ_HAZ_PACTYPE,162,1)&lt;&gt;"",INDEX(OHZ_HAZ_TOTALPACKA,162,1)&lt;&gt;"",INDEX(OHZ_HAZ_ADDITIONAL,162,1)&lt;&gt;"",INDEX(OHZ_HAZ_EMS,162,1)&lt;&gt;"",INDEX(OHZ_HAZ_SUBSIDIARY,162,1)&lt;&gt;"",INDEX(OHZ_HAZ_UNITTYPE,162,1)&lt;&gt;"",INDEX(OHZ_HAZ_TEUID,162,1)&lt;&gt;"",INDEX(OHZ_HAZ_LOCATION,162,1)&lt;&gt;"",INDEX(OHZ_HAZ_PACKAGES,162,1)&lt;&gt;"",INDEX(OHZ_HAZ_AMOUNT,162,1)&lt;&gt;"",),IF(OR(INDEX(OHZ_HAZ_DGCLASSIFI,162,1)="",INDEX(OHZ_HAZ_TEXTUALREF,162,1)="",INDEX(OHZ_HAZ_TOTAMOUNT,162,1)="",INDEX(OHZ_HAZ_DPGREF,162,1)="",INDEX(OHZ_HAZ_CONSIGNMENT,162,1)="",),FALSE,TRUE),TRUE)</f>
        <v>1</v>
      </c>
      <c r="K169" s="237" t="str">
        <f t="shared" si="6"/>
        <v>Row 162 - All mandatory fields must be given</v>
      </c>
      <c r="L169" s="236" t="s">
        <v>1853</v>
      </c>
      <c r="S169" s="52"/>
      <c r="T169" s="52" t="s">
        <v>2254</v>
      </c>
      <c r="V169" s="52"/>
    </row>
    <row r="170" spans="6:22">
      <c r="F170" s="236" t="s">
        <v>1853</v>
      </c>
      <c r="G170" s="250" t="b">
        <f>IF(OR(INDEX(IHZ_HAZ_CONSIGNMENT,163,1)&lt;&gt;"",INDEX(IHZ_HAZ_TRANSDOCID,163,1)&lt;&gt;"",INDEX(IHZ_HAZ_PORTOFLOADING,163,1)&lt;&gt;"",INDEX(IHZ_HAZ_PORTOFDISCHARGE,163,1)&lt;&gt;"",INDEX(IHZ_HAZ_DPGREF,163,1)&lt;&gt;"",INDEX(IHZ_HAZ_DGCLASSIFI,163,1)&lt;&gt;"",INDEX(IHZ_HAZ_TEXTUALREF,163,1)&lt;&gt;"",INDEX(IHZ_HAZ_IMOHAZARDC,163,1)&lt;&gt;"",INDEX(IHZ_HAZ_UNNUMBER,163,1)&lt;&gt;"",INDEX(IHZ_HAZ_TOTAMOUNT,163,1)&lt;&gt;"",INDEX(IHZ_HAZ_PACKINGGRO,163,1)&lt;&gt;"",INDEX(IHZ_HAZ_FLASHPOINT,163,1)&lt;&gt;"",INDEX(IHZ_HAZ_MARPOLCODE,163,1)&lt;&gt;"",INDEX(IHZ_HAZ_PACTYPE,163,1)&lt;&gt;"",INDEX(IHZ_HAZ_TOTALPACKA,163,1)&lt;&gt;"",INDEX(IHZ_HAZ_ADDITIONAL,163,1)&lt;&gt;"",INDEX(IHZ_HAZ_EMS,163,1)&lt;&gt;"",INDEX(IHZ_HAZ_SUBSIDIARY,163,1)&lt;&gt;"",INDEX(IHZ_HAZ_UNITTYPE,163,1)&lt;&gt;"",INDEX(IHZ_HAZ_TEUID,163,1)&lt;&gt;"",INDEX(IHZ_HAZ_LOCATION,163,1)&lt;&gt;"",INDEX(IHZ_HAZ_PACKAGES,163,1)&lt;&gt;"",INDEX(IHZ_HAZ_AMOUNT,163,1)&lt;&gt;"",),IF(OR(INDEX(IHZ_HAZ_DGCLASSIFI,163,1)="",INDEX(IHZ_HAZ_TEXTUALREF,163,1)="",INDEX(IHZ_HAZ_TOTAMOUNT,163,1)="",INDEX(IHZ_HAZ_DPGREF,163,1)="",INDEX(IHZ_HAZ_CONSIGNMENT,163,1)="",),FALSE,TRUE),TRUE)</f>
        <v>1</v>
      </c>
      <c r="H170" s="237" t="str">
        <f t="shared" si="5"/>
        <v>Row 163 - All mandatory fields must be given</v>
      </c>
      <c r="I170" s="236" t="s">
        <v>1853</v>
      </c>
      <c r="J170" s="52" t="b">
        <f>IF(OR(INDEX(OHZ_HAZ_CONSIGNMENT,163,1)&lt;&gt;"",INDEX(OHZ_HAZ_TRANSDOCID,163,1)&lt;&gt;"",INDEX(OHZ_HAZ_PORTOFLOADING,163,1)&lt;&gt;"",INDEX(OHZ_HAZ_PORTOFDISCHARGE,163,1)&lt;&gt;"",INDEX(OHZ_HAZ_DPGREF,163,1)&lt;&gt;"",INDEX(OHZ_HAZ_DGCLASSIFI,163,1)&lt;&gt;"",INDEX(OHZ_HAZ_TEXTUALREF,163,1)&lt;&gt;"",INDEX(OHZ_HAZ_IMOHAZARDC,163,1)&lt;&gt;"",INDEX(OHZ_HAZ_UNNUMBER,163,1)&lt;&gt;"",INDEX(OHZ_HAZ_TOTAMOUNT,163,1)&lt;&gt;"",INDEX(OHZ_HAZ_PACKINGGRO,163,1)&lt;&gt;"",INDEX(OHZ_HAZ_FLASHPOINT,163,1)&lt;&gt;"",INDEX(OHZ_HAZ_MARPOLCODE,163,1)&lt;&gt;"",INDEX(OHZ_HAZ_PACTYPE,163,1)&lt;&gt;"",INDEX(OHZ_HAZ_TOTALPACKA,163,1)&lt;&gt;"",INDEX(OHZ_HAZ_ADDITIONAL,163,1)&lt;&gt;"",INDEX(OHZ_HAZ_EMS,163,1)&lt;&gt;"",INDEX(OHZ_HAZ_SUBSIDIARY,163,1)&lt;&gt;"",INDEX(OHZ_HAZ_UNITTYPE,163,1)&lt;&gt;"",INDEX(OHZ_HAZ_TEUID,163,1)&lt;&gt;"",INDEX(OHZ_HAZ_LOCATION,163,1)&lt;&gt;"",INDEX(OHZ_HAZ_PACKAGES,163,1)&lt;&gt;"",INDEX(OHZ_HAZ_AMOUNT,163,1)&lt;&gt;"",),IF(OR(INDEX(OHZ_HAZ_DGCLASSIFI,163,1)="",INDEX(OHZ_HAZ_TEXTUALREF,163,1)="",INDEX(OHZ_HAZ_TOTAMOUNT,163,1)="",INDEX(OHZ_HAZ_DPGREF,163,1)="",INDEX(OHZ_HAZ_CONSIGNMENT,163,1)="",),FALSE,TRUE),TRUE)</f>
        <v>1</v>
      </c>
      <c r="K170" s="237" t="str">
        <f t="shared" si="6"/>
        <v>Row 163 - All mandatory fields must be given</v>
      </c>
      <c r="L170" s="236" t="s">
        <v>1853</v>
      </c>
      <c r="S170" s="52"/>
      <c r="T170" s="52" t="s">
        <v>2255</v>
      </c>
      <c r="V170" s="52"/>
    </row>
    <row r="171" spans="6:22">
      <c r="F171" s="236" t="s">
        <v>1853</v>
      </c>
      <c r="G171" s="250" t="b">
        <f>IF(OR(INDEX(IHZ_HAZ_CONSIGNMENT,164,1)&lt;&gt;"",INDEX(IHZ_HAZ_TRANSDOCID,164,1)&lt;&gt;"",INDEX(IHZ_HAZ_PORTOFLOADING,164,1)&lt;&gt;"",INDEX(IHZ_HAZ_PORTOFDISCHARGE,164,1)&lt;&gt;"",INDEX(IHZ_HAZ_DPGREF,164,1)&lt;&gt;"",INDEX(IHZ_HAZ_DGCLASSIFI,164,1)&lt;&gt;"",INDEX(IHZ_HAZ_TEXTUALREF,164,1)&lt;&gt;"",INDEX(IHZ_HAZ_IMOHAZARDC,164,1)&lt;&gt;"",INDEX(IHZ_HAZ_UNNUMBER,164,1)&lt;&gt;"",INDEX(IHZ_HAZ_TOTAMOUNT,164,1)&lt;&gt;"",INDEX(IHZ_HAZ_PACKINGGRO,164,1)&lt;&gt;"",INDEX(IHZ_HAZ_FLASHPOINT,164,1)&lt;&gt;"",INDEX(IHZ_HAZ_MARPOLCODE,164,1)&lt;&gt;"",INDEX(IHZ_HAZ_PACTYPE,164,1)&lt;&gt;"",INDEX(IHZ_HAZ_TOTALPACKA,164,1)&lt;&gt;"",INDEX(IHZ_HAZ_ADDITIONAL,164,1)&lt;&gt;"",INDEX(IHZ_HAZ_EMS,164,1)&lt;&gt;"",INDEX(IHZ_HAZ_SUBSIDIARY,164,1)&lt;&gt;"",INDEX(IHZ_HAZ_UNITTYPE,164,1)&lt;&gt;"",INDEX(IHZ_HAZ_TEUID,164,1)&lt;&gt;"",INDEX(IHZ_HAZ_LOCATION,164,1)&lt;&gt;"",INDEX(IHZ_HAZ_PACKAGES,164,1)&lt;&gt;"",INDEX(IHZ_HAZ_AMOUNT,164,1)&lt;&gt;"",),IF(OR(INDEX(IHZ_HAZ_DGCLASSIFI,164,1)="",INDEX(IHZ_HAZ_TEXTUALREF,164,1)="",INDEX(IHZ_HAZ_TOTAMOUNT,164,1)="",INDEX(IHZ_HAZ_DPGREF,164,1)="",INDEX(IHZ_HAZ_CONSIGNMENT,164,1)="",),FALSE,TRUE),TRUE)</f>
        <v>1</v>
      </c>
      <c r="H171" s="237" t="str">
        <f t="shared" si="5"/>
        <v>Row 164 - All mandatory fields must be given</v>
      </c>
      <c r="I171" s="236" t="s">
        <v>1853</v>
      </c>
      <c r="J171" s="52" t="b">
        <f>IF(OR(INDEX(OHZ_HAZ_CONSIGNMENT,164,1)&lt;&gt;"",INDEX(OHZ_HAZ_TRANSDOCID,164,1)&lt;&gt;"",INDEX(OHZ_HAZ_PORTOFLOADING,164,1)&lt;&gt;"",INDEX(OHZ_HAZ_PORTOFDISCHARGE,164,1)&lt;&gt;"",INDEX(OHZ_HAZ_DPGREF,164,1)&lt;&gt;"",INDEX(OHZ_HAZ_DGCLASSIFI,164,1)&lt;&gt;"",INDEX(OHZ_HAZ_TEXTUALREF,164,1)&lt;&gt;"",INDEX(OHZ_HAZ_IMOHAZARDC,164,1)&lt;&gt;"",INDEX(OHZ_HAZ_UNNUMBER,164,1)&lt;&gt;"",INDEX(OHZ_HAZ_TOTAMOUNT,164,1)&lt;&gt;"",INDEX(OHZ_HAZ_PACKINGGRO,164,1)&lt;&gt;"",INDEX(OHZ_HAZ_FLASHPOINT,164,1)&lt;&gt;"",INDEX(OHZ_HAZ_MARPOLCODE,164,1)&lt;&gt;"",INDEX(OHZ_HAZ_PACTYPE,164,1)&lt;&gt;"",INDEX(OHZ_HAZ_TOTALPACKA,164,1)&lt;&gt;"",INDEX(OHZ_HAZ_ADDITIONAL,164,1)&lt;&gt;"",INDEX(OHZ_HAZ_EMS,164,1)&lt;&gt;"",INDEX(OHZ_HAZ_SUBSIDIARY,164,1)&lt;&gt;"",INDEX(OHZ_HAZ_UNITTYPE,164,1)&lt;&gt;"",INDEX(OHZ_HAZ_TEUID,164,1)&lt;&gt;"",INDEX(OHZ_HAZ_LOCATION,164,1)&lt;&gt;"",INDEX(OHZ_HAZ_PACKAGES,164,1)&lt;&gt;"",INDEX(OHZ_HAZ_AMOUNT,164,1)&lt;&gt;"",),IF(OR(INDEX(OHZ_HAZ_DGCLASSIFI,164,1)="",INDEX(OHZ_HAZ_TEXTUALREF,164,1)="",INDEX(OHZ_HAZ_TOTAMOUNT,164,1)="",INDEX(OHZ_HAZ_DPGREF,164,1)="",INDEX(OHZ_HAZ_CONSIGNMENT,164,1)="",),FALSE,TRUE),TRUE)</f>
        <v>1</v>
      </c>
      <c r="K171" s="237" t="str">
        <f t="shared" si="6"/>
        <v>Row 164 - All mandatory fields must be given</v>
      </c>
      <c r="L171" s="236" t="s">
        <v>1853</v>
      </c>
      <c r="S171" s="52"/>
      <c r="T171" s="52" t="s">
        <v>2256</v>
      </c>
      <c r="V171" s="52"/>
    </row>
    <row r="172" spans="6:22">
      <c r="F172" s="236" t="s">
        <v>1853</v>
      </c>
      <c r="G172" s="250" t="b">
        <f>IF(OR(INDEX(IHZ_HAZ_CONSIGNMENT,165,1)&lt;&gt;"",INDEX(IHZ_HAZ_TRANSDOCID,165,1)&lt;&gt;"",INDEX(IHZ_HAZ_PORTOFLOADING,165,1)&lt;&gt;"",INDEX(IHZ_HAZ_PORTOFDISCHARGE,165,1)&lt;&gt;"",INDEX(IHZ_HAZ_DPGREF,165,1)&lt;&gt;"",INDEX(IHZ_HAZ_DGCLASSIFI,165,1)&lt;&gt;"",INDEX(IHZ_HAZ_TEXTUALREF,165,1)&lt;&gt;"",INDEX(IHZ_HAZ_IMOHAZARDC,165,1)&lt;&gt;"",INDEX(IHZ_HAZ_UNNUMBER,165,1)&lt;&gt;"",INDEX(IHZ_HAZ_TOTAMOUNT,165,1)&lt;&gt;"",INDEX(IHZ_HAZ_PACKINGGRO,165,1)&lt;&gt;"",INDEX(IHZ_HAZ_FLASHPOINT,165,1)&lt;&gt;"",INDEX(IHZ_HAZ_MARPOLCODE,165,1)&lt;&gt;"",INDEX(IHZ_HAZ_PACTYPE,165,1)&lt;&gt;"",INDEX(IHZ_HAZ_TOTALPACKA,165,1)&lt;&gt;"",INDEX(IHZ_HAZ_ADDITIONAL,165,1)&lt;&gt;"",INDEX(IHZ_HAZ_EMS,165,1)&lt;&gt;"",INDEX(IHZ_HAZ_SUBSIDIARY,165,1)&lt;&gt;"",INDEX(IHZ_HAZ_UNITTYPE,165,1)&lt;&gt;"",INDEX(IHZ_HAZ_TEUID,165,1)&lt;&gt;"",INDEX(IHZ_HAZ_LOCATION,165,1)&lt;&gt;"",INDEX(IHZ_HAZ_PACKAGES,165,1)&lt;&gt;"",INDEX(IHZ_HAZ_AMOUNT,165,1)&lt;&gt;"",),IF(OR(INDEX(IHZ_HAZ_DGCLASSIFI,165,1)="",INDEX(IHZ_HAZ_TEXTUALREF,165,1)="",INDEX(IHZ_HAZ_TOTAMOUNT,165,1)="",INDEX(IHZ_HAZ_DPGREF,165,1)="",INDEX(IHZ_HAZ_CONSIGNMENT,165,1)="",),FALSE,TRUE),TRUE)</f>
        <v>1</v>
      </c>
      <c r="H172" s="237" t="str">
        <f t="shared" si="5"/>
        <v>Row 165 - All mandatory fields must be given</v>
      </c>
      <c r="J172" s="52" t="b">
        <f>IF(OR(INDEX(OHZ_HAZ_CONSIGNMENT,165,1)&lt;&gt;"",INDEX(OHZ_HAZ_TRANSDOCID,165,1)&lt;&gt;"",INDEX(OHZ_HAZ_PORTOFLOADING,165,1)&lt;&gt;"",INDEX(OHZ_HAZ_PORTOFDISCHARGE,165,1)&lt;&gt;"",INDEX(OHZ_HAZ_DPGREF,165,1)&lt;&gt;"",INDEX(OHZ_HAZ_DGCLASSIFI,165,1)&lt;&gt;"",INDEX(OHZ_HAZ_TEXTUALREF,165,1)&lt;&gt;"",INDEX(OHZ_HAZ_IMOHAZARDC,165,1)&lt;&gt;"",INDEX(OHZ_HAZ_UNNUMBER,165,1)&lt;&gt;"",INDEX(OHZ_HAZ_TOTAMOUNT,165,1)&lt;&gt;"",INDEX(OHZ_HAZ_PACKINGGRO,165,1)&lt;&gt;"",INDEX(OHZ_HAZ_FLASHPOINT,165,1)&lt;&gt;"",INDEX(OHZ_HAZ_MARPOLCODE,165,1)&lt;&gt;"",INDEX(OHZ_HAZ_PACTYPE,165,1)&lt;&gt;"",INDEX(OHZ_HAZ_TOTALPACKA,165,1)&lt;&gt;"",INDEX(OHZ_HAZ_ADDITIONAL,165,1)&lt;&gt;"",INDEX(OHZ_HAZ_EMS,165,1)&lt;&gt;"",INDEX(OHZ_HAZ_SUBSIDIARY,165,1)&lt;&gt;"",INDEX(OHZ_HAZ_UNITTYPE,165,1)&lt;&gt;"",INDEX(OHZ_HAZ_TEUID,165,1)&lt;&gt;"",INDEX(OHZ_HAZ_LOCATION,165,1)&lt;&gt;"",INDEX(OHZ_HAZ_PACKAGES,165,1)&lt;&gt;"",INDEX(OHZ_HAZ_AMOUNT,165,1)&lt;&gt;"",),IF(OR(INDEX(OHZ_HAZ_DGCLASSIFI,165,1)="",INDEX(OHZ_HAZ_TEXTUALREF,165,1)="",INDEX(OHZ_HAZ_TOTAMOUNT,165,1)="",INDEX(OHZ_HAZ_DPGREF,165,1)="",INDEX(OHZ_HAZ_CONSIGNMENT,165,1)="",),FALSE,TRUE),TRUE)</f>
        <v>1</v>
      </c>
      <c r="K172" s="237" t="str">
        <f t="shared" si="6"/>
        <v>Row 165 - All mandatory fields must be given</v>
      </c>
      <c r="L172" s="236" t="s">
        <v>1853</v>
      </c>
      <c r="S172" s="52"/>
      <c r="T172" s="52" t="s">
        <v>2257</v>
      </c>
      <c r="V172" s="52"/>
    </row>
    <row r="173" spans="6:22">
      <c r="F173" s="236" t="s">
        <v>1853</v>
      </c>
      <c r="G173" s="250" t="b">
        <f>IF(OR(INDEX(IHZ_HAZ_CONSIGNMENT,166,1)&lt;&gt;"",INDEX(IHZ_HAZ_TRANSDOCID,166,1)&lt;&gt;"",INDEX(IHZ_HAZ_PORTOFLOADING,166,1)&lt;&gt;"",INDEX(IHZ_HAZ_PORTOFDISCHARGE,166,1)&lt;&gt;"",INDEX(IHZ_HAZ_DPGREF,166,1)&lt;&gt;"",INDEX(IHZ_HAZ_DGCLASSIFI,166,1)&lt;&gt;"",INDEX(IHZ_HAZ_TEXTUALREF,166,1)&lt;&gt;"",INDEX(IHZ_HAZ_IMOHAZARDC,166,1)&lt;&gt;"",INDEX(IHZ_HAZ_UNNUMBER,166,1)&lt;&gt;"",INDEX(IHZ_HAZ_TOTAMOUNT,166,1)&lt;&gt;"",INDEX(IHZ_HAZ_PACKINGGRO,166,1)&lt;&gt;"",INDEX(IHZ_HAZ_FLASHPOINT,166,1)&lt;&gt;"",INDEX(IHZ_HAZ_MARPOLCODE,166,1)&lt;&gt;"",INDEX(IHZ_HAZ_PACTYPE,166,1)&lt;&gt;"",INDEX(IHZ_HAZ_TOTALPACKA,166,1)&lt;&gt;"",INDEX(IHZ_HAZ_ADDITIONAL,166,1)&lt;&gt;"",INDEX(IHZ_HAZ_EMS,166,1)&lt;&gt;"",INDEX(IHZ_HAZ_SUBSIDIARY,166,1)&lt;&gt;"",INDEX(IHZ_HAZ_UNITTYPE,166,1)&lt;&gt;"",INDEX(IHZ_HAZ_TEUID,166,1)&lt;&gt;"",INDEX(IHZ_HAZ_LOCATION,166,1)&lt;&gt;"",INDEX(IHZ_HAZ_PACKAGES,166,1)&lt;&gt;"",INDEX(IHZ_HAZ_AMOUNT,166,1)&lt;&gt;"",),IF(OR(INDEX(IHZ_HAZ_DGCLASSIFI,166,1)="",INDEX(IHZ_HAZ_TEXTUALREF,166,1)="",INDEX(IHZ_HAZ_TOTAMOUNT,166,1)="",INDEX(IHZ_HAZ_DPGREF,166,1)="",INDEX(IHZ_HAZ_CONSIGNMENT,166,1)="",),FALSE,TRUE),TRUE)</f>
        <v>1</v>
      </c>
      <c r="H173" s="237" t="str">
        <f t="shared" si="5"/>
        <v>Row 166 - All mandatory fields must be given</v>
      </c>
      <c r="J173" s="52" t="b">
        <f>IF(OR(INDEX(OHZ_HAZ_CONSIGNMENT,166,1)&lt;&gt;"",INDEX(OHZ_HAZ_TRANSDOCID,166,1)&lt;&gt;"",INDEX(OHZ_HAZ_PORTOFLOADING,166,1)&lt;&gt;"",INDEX(OHZ_HAZ_PORTOFDISCHARGE,166,1)&lt;&gt;"",INDEX(OHZ_HAZ_DPGREF,166,1)&lt;&gt;"",INDEX(OHZ_HAZ_DGCLASSIFI,166,1)&lt;&gt;"",INDEX(OHZ_HAZ_TEXTUALREF,166,1)&lt;&gt;"",INDEX(OHZ_HAZ_IMOHAZARDC,166,1)&lt;&gt;"",INDEX(OHZ_HAZ_UNNUMBER,166,1)&lt;&gt;"",INDEX(OHZ_HAZ_TOTAMOUNT,166,1)&lt;&gt;"",INDEX(OHZ_HAZ_PACKINGGRO,166,1)&lt;&gt;"",INDEX(OHZ_HAZ_FLASHPOINT,166,1)&lt;&gt;"",INDEX(OHZ_HAZ_MARPOLCODE,166,1)&lt;&gt;"",INDEX(OHZ_HAZ_PACTYPE,166,1)&lt;&gt;"",INDEX(OHZ_HAZ_TOTALPACKA,166,1)&lt;&gt;"",INDEX(OHZ_HAZ_ADDITIONAL,166,1)&lt;&gt;"",INDEX(OHZ_HAZ_EMS,166,1)&lt;&gt;"",INDEX(OHZ_HAZ_SUBSIDIARY,166,1)&lt;&gt;"",INDEX(OHZ_HAZ_UNITTYPE,166,1)&lt;&gt;"",INDEX(OHZ_HAZ_TEUID,166,1)&lt;&gt;"",INDEX(OHZ_HAZ_LOCATION,166,1)&lt;&gt;"",INDEX(OHZ_HAZ_PACKAGES,166,1)&lt;&gt;"",INDEX(OHZ_HAZ_AMOUNT,166,1)&lt;&gt;"",),IF(OR(INDEX(OHZ_HAZ_DGCLASSIFI,166,1)="",INDEX(OHZ_HAZ_TEXTUALREF,166,1)="",INDEX(OHZ_HAZ_TOTAMOUNT,166,1)="",INDEX(OHZ_HAZ_DPGREF,166,1)="",INDEX(OHZ_HAZ_CONSIGNMENT,166,1)="",),FALSE,TRUE),TRUE)</f>
        <v>1</v>
      </c>
      <c r="K173" s="237" t="str">
        <f t="shared" si="6"/>
        <v>Row 166 - All mandatory fields must be given</v>
      </c>
      <c r="L173" s="236" t="s">
        <v>1853</v>
      </c>
      <c r="S173" s="52"/>
      <c r="T173" s="52" t="s">
        <v>2258</v>
      </c>
      <c r="V173" s="52"/>
    </row>
    <row r="174" spans="6:22">
      <c r="F174" s="236" t="s">
        <v>1853</v>
      </c>
      <c r="G174" s="250" t="b">
        <f>IF(OR(INDEX(IHZ_HAZ_CONSIGNMENT,167,1)&lt;&gt;"",INDEX(IHZ_HAZ_TRANSDOCID,167,1)&lt;&gt;"",INDEX(IHZ_HAZ_PORTOFLOADING,167,1)&lt;&gt;"",INDEX(IHZ_HAZ_PORTOFDISCHARGE,167,1)&lt;&gt;"",INDEX(IHZ_HAZ_DPGREF,167,1)&lt;&gt;"",INDEX(IHZ_HAZ_DGCLASSIFI,167,1)&lt;&gt;"",INDEX(IHZ_HAZ_TEXTUALREF,167,1)&lt;&gt;"",INDEX(IHZ_HAZ_IMOHAZARDC,167,1)&lt;&gt;"",INDEX(IHZ_HAZ_UNNUMBER,167,1)&lt;&gt;"",INDEX(IHZ_HAZ_TOTAMOUNT,167,1)&lt;&gt;"",INDEX(IHZ_HAZ_PACKINGGRO,167,1)&lt;&gt;"",INDEX(IHZ_HAZ_FLASHPOINT,167,1)&lt;&gt;"",INDEX(IHZ_HAZ_MARPOLCODE,167,1)&lt;&gt;"",INDEX(IHZ_HAZ_PACTYPE,167,1)&lt;&gt;"",INDEX(IHZ_HAZ_TOTALPACKA,167,1)&lt;&gt;"",INDEX(IHZ_HAZ_ADDITIONAL,167,1)&lt;&gt;"",INDEX(IHZ_HAZ_EMS,167,1)&lt;&gt;"",INDEX(IHZ_HAZ_SUBSIDIARY,167,1)&lt;&gt;"",INDEX(IHZ_HAZ_UNITTYPE,167,1)&lt;&gt;"",INDEX(IHZ_HAZ_TEUID,167,1)&lt;&gt;"",INDEX(IHZ_HAZ_LOCATION,167,1)&lt;&gt;"",INDEX(IHZ_HAZ_PACKAGES,167,1)&lt;&gt;"",INDEX(IHZ_HAZ_AMOUNT,167,1)&lt;&gt;"",),IF(OR(INDEX(IHZ_HAZ_DGCLASSIFI,167,1)="",INDEX(IHZ_HAZ_TEXTUALREF,167,1)="",INDEX(IHZ_HAZ_TOTAMOUNT,167,1)="",INDEX(IHZ_HAZ_DPGREF,167,1)="",INDEX(IHZ_HAZ_CONSIGNMENT,167,1)="",),FALSE,TRUE),TRUE)</f>
        <v>1</v>
      </c>
      <c r="H174" s="237" t="str">
        <f t="shared" si="5"/>
        <v>Row 167 - All mandatory fields must be given</v>
      </c>
      <c r="J174" s="52" t="b">
        <f>IF(OR(INDEX(OHZ_HAZ_CONSIGNMENT,167,1)&lt;&gt;"",INDEX(OHZ_HAZ_TRANSDOCID,167,1)&lt;&gt;"",INDEX(OHZ_HAZ_PORTOFLOADING,167,1)&lt;&gt;"",INDEX(OHZ_HAZ_PORTOFDISCHARGE,167,1)&lt;&gt;"",INDEX(OHZ_HAZ_DPGREF,167,1)&lt;&gt;"",INDEX(OHZ_HAZ_DGCLASSIFI,167,1)&lt;&gt;"",INDEX(OHZ_HAZ_TEXTUALREF,167,1)&lt;&gt;"",INDEX(OHZ_HAZ_IMOHAZARDC,167,1)&lt;&gt;"",INDEX(OHZ_HAZ_UNNUMBER,167,1)&lt;&gt;"",INDEX(OHZ_HAZ_TOTAMOUNT,167,1)&lt;&gt;"",INDEX(OHZ_HAZ_PACKINGGRO,167,1)&lt;&gt;"",INDEX(OHZ_HAZ_FLASHPOINT,167,1)&lt;&gt;"",INDEX(OHZ_HAZ_MARPOLCODE,167,1)&lt;&gt;"",INDEX(OHZ_HAZ_PACTYPE,167,1)&lt;&gt;"",INDEX(OHZ_HAZ_TOTALPACKA,167,1)&lt;&gt;"",INDEX(OHZ_HAZ_ADDITIONAL,167,1)&lt;&gt;"",INDEX(OHZ_HAZ_EMS,167,1)&lt;&gt;"",INDEX(OHZ_HAZ_SUBSIDIARY,167,1)&lt;&gt;"",INDEX(OHZ_HAZ_UNITTYPE,167,1)&lt;&gt;"",INDEX(OHZ_HAZ_TEUID,167,1)&lt;&gt;"",INDEX(OHZ_HAZ_LOCATION,167,1)&lt;&gt;"",INDEX(OHZ_HAZ_PACKAGES,167,1)&lt;&gt;"",INDEX(OHZ_HAZ_AMOUNT,167,1)&lt;&gt;"",),IF(OR(INDEX(OHZ_HAZ_DGCLASSIFI,167,1)="",INDEX(OHZ_HAZ_TEXTUALREF,167,1)="",INDEX(OHZ_HAZ_TOTAMOUNT,167,1)="",INDEX(OHZ_HAZ_DPGREF,167,1)="",INDEX(OHZ_HAZ_CONSIGNMENT,167,1)="",),FALSE,TRUE),TRUE)</f>
        <v>1</v>
      </c>
      <c r="K174" s="237" t="str">
        <f t="shared" si="6"/>
        <v>Row 167 - All mandatory fields must be given</v>
      </c>
      <c r="L174" s="236" t="s">
        <v>1853</v>
      </c>
      <c r="S174" s="52"/>
      <c r="T174" s="52" t="s">
        <v>2259</v>
      </c>
      <c r="V174" s="52"/>
    </row>
    <row r="175" spans="6:22">
      <c r="F175" s="236" t="s">
        <v>1853</v>
      </c>
      <c r="G175" s="250" t="b">
        <f>IF(OR(INDEX(IHZ_HAZ_CONSIGNMENT,168,1)&lt;&gt;"",INDEX(IHZ_HAZ_TRANSDOCID,168,1)&lt;&gt;"",INDEX(IHZ_HAZ_PORTOFLOADING,168,1)&lt;&gt;"",INDEX(IHZ_HAZ_PORTOFDISCHARGE,168,1)&lt;&gt;"",INDEX(IHZ_HAZ_DPGREF,168,1)&lt;&gt;"",INDEX(IHZ_HAZ_DGCLASSIFI,168,1)&lt;&gt;"",INDEX(IHZ_HAZ_TEXTUALREF,168,1)&lt;&gt;"",INDEX(IHZ_HAZ_IMOHAZARDC,168,1)&lt;&gt;"",INDEX(IHZ_HAZ_UNNUMBER,168,1)&lt;&gt;"",INDEX(IHZ_HAZ_TOTAMOUNT,168,1)&lt;&gt;"",INDEX(IHZ_HAZ_PACKINGGRO,168,1)&lt;&gt;"",INDEX(IHZ_HAZ_FLASHPOINT,168,1)&lt;&gt;"",INDEX(IHZ_HAZ_MARPOLCODE,168,1)&lt;&gt;"",INDEX(IHZ_HAZ_PACTYPE,168,1)&lt;&gt;"",INDEX(IHZ_HAZ_TOTALPACKA,168,1)&lt;&gt;"",INDEX(IHZ_HAZ_ADDITIONAL,168,1)&lt;&gt;"",INDEX(IHZ_HAZ_EMS,168,1)&lt;&gt;"",INDEX(IHZ_HAZ_SUBSIDIARY,168,1)&lt;&gt;"",INDEX(IHZ_HAZ_UNITTYPE,168,1)&lt;&gt;"",INDEX(IHZ_HAZ_TEUID,168,1)&lt;&gt;"",INDEX(IHZ_HAZ_LOCATION,168,1)&lt;&gt;"",INDEX(IHZ_HAZ_PACKAGES,168,1)&lt;&gt;"",INDEX(IHZ_HAZ_AMOUNT,168,1)&lt;&gt;"",),IF(OR(INDEX(IHZ_HAZ_DGCLASSIFI,168,1)="",INDEX(IHZ_HAZ_TEXTUALREF,168,1)="",INDEX(IHZ_HAZ_TOTAMOUNT,168,1)="",INDEX(IHZ_HAZ_DPGREF,168,1)="",INDEX(IHZ_HAZ_CONSIGNMENT,168,1)="",),FALSE,TRUE),TRUE)</f>
        <v>1</v>
      </c>
      <c r="H175" s="237" t="str">
        <f t="shared" si="5"/>
        <v>Row 168 - All mandatory fields must be given</v>
      </c>
      <c r="J175" s="52" t="b">
        <f>IF(OR(INDEX(OHZ_HAZ_CONSIGNMENT,168,1)&lt;&gt;"",INDEX(OHZ_HAZ_TRANSDOCID,168,1)&lt;&gt;"",INDEX(OHZ_HAZ_PORTOFLOADING,168,1)&lt;&gt;"",INDEX(OHZ_HAZ_PORTOFDISCHARGE,168,1)&lt;&gt;"",INDEX(OHZ_HAZ_DPGREF,168,1)&lt;&gt;"",INDEX(OHZ_HAZ_DGCLASSIFI,168,1)&lt;&gt;"",INDEX(OHZ_HAZ_TEXTUALREF,168,1)&lt;&gt;"",INDEX(OHZ_HAZ_IMOHAZARDC,168,1)&lt;&gt;"",INDEX(OHZ_HAZ_UNNUMBER,168,1)&lt;&gt;"",INDEX(OHZ_HAZ_TOTAMOUNT,168,1)&lt;&gt;"",INDEX(OHZ_HAZ_PACKINGGRO,168,1)&lt;&gt;"",INDEX(OHZ_HAZ_FLASHPOINT,168,1)&lt;&gt;"",INDEX(OHZ_HAZ_MARPOLCODE,168,1)&lt;&gt;"",INDEX(OHZ_HAZ_PACTYPE,168,1)&lt;&gt;"",INDEX(OHZ_HAZ_TOTALPACKA,168,1)&lt;&gt;"",INDEX(OHZ_HAZ_ADDITIONAL,168,1)&lt;&gt;"",INDEX(OHZ_HAZ_EMS,168,1)&lt;&gt;"",INDEX(OHZ_HAZ_SUBSIDIARY,168,1)&lt;&gt;"",INDEX(OHZ_HAZ_UNITTYPE,168,1)&lt;&gt;"",INDEX(OHZ_HAZ_TEUID,168,1)&lt;&gt;"",INDEX(OHZ_HAZ_LOCATION,168,1)&lt;&gt;"",INDEX(OHZ_HAZ_PACKAGES,168,1)&lt;&gt;"",INDEX(OHZ_HAZ_AMOUNT,168,1)&lt;&gt;"",),IF(OR(INDEX(OHZ_HAZ_DGCLASSIFI,168,1)="",INDEX(OHZ_HAZ_TEXTUALREF,168,1)="",INDEX(OHZ_HAZ_TOTAMOUNT,168,1)="",INDEX(OHZ_HAZ_DPGREF,168,1)="",INDEX(OHZ_HAZ_CONSIGNMENT,168,1)="",),FALSE,TRUE),TRUE)</f>
        <v>1</v>
      </c>
      <c r="K175" s="237" t="str">
        <f t="shared" si="6"/>
        <v>Row 168 - All mandatory fields must be given</v>
      </c>
      <c r="L175" s="236" t="s">
        <v>1853</v>
      </c>
      <c r="S175" s="52"/>
      <c r="T175" s="52" t="s">
        <v>2260</v>
      </c>
      <c r="V175" s="52"/>
    </row>
    <row r="176" spans="6:22">
      <c r="F176" s="236" t="s">
        <v>1853</v>
      </c>
      <c r="G176" s="250" t="b">
        <f>IF(OR(INDEX(IHZ_HAZ_CONSIGNMENT,169,1)&lt;&gt;"",INDEX(IHZ_HAZ_TRANSDOCID,169,1)&lt;&gt;"",INDEX(IHZ_HAZ_PORTOFLOADING,169,1)&lt;&gt;"",INDEX(IHZ_HAZ_PORTOFDISCHARGE,169,1)&lt;&gt;"",INDEX(IHZ_HAZ_DPGREF,169,1)&lt;&gt;"",INDEX(IHZ_HAZ_DGCLASSIFI,169,1)&lt;&gt;"",INDEX(IHZ_HAZ_TEXTUALREF,169,1)&lt;&gt;"",INDEX(IHZ_HAZ_IMOHAZARDC,169,1)&lt;&gt;"",INDEX(IHZ_HAZ_UNNUMBER,169,1)&lt;&gt;"",INDEX(IHZ_HAZ_TOTAMOUNT,169,1)&lt;&gt;"",INDEX(IHZ_HAZ_PACKINGGRO,169,1)&lt;&gt;"",INDEX(IHZ_HAZ_FLASHPOINT,169,1)&lt;&gt;"",INDEX(IHZ_HAZ_MARPOLCODE,169,1)&lt;&gt;"",INDEX(IHZ_HAZ_PACTYPE,169,1)&lt;&gt;"",INDEX(IHZ_HAZ_TOTALPACKA,169,1)&lt;&gt;"",INDEX(IHZ_HAZ_ADDITIONAL,169,1)&lt;&gt;"",INDEX(IHZ_HAZ_EMS,169,1)&lt;&gt;"",INDEX(IHZ_HAZ_SUBSIDIARY,169,1)&lt;&gt;"",INDEX(IHZ_HAZ_UNITTYPE,169,1)&lt;&gt;"",INDEX(IHZ_HAZ_TEUID,169,1)&lt;&gt;"",INDEX(IHZ_HAZ_LOCATION,169,1)&lt;&gt;"",INDEX(IHZ_HAZ_PACKAGES,169,1)&lt;&gt;"",INDEX(IHZ_HAZ_AMOUNT,169,1)&lt;&gt;"",),IF(OR(INDEX(IHZ_HAZ_DGCLASSIFI,169,1)="",INDEX(IHZ_HAZ_TEXTUALREF,169,1)="",INDEX(IHZ_HAZ_TOTAMOUNT,169,1)="",INDEX(IHZ_HAZ_DPGREF,169,1)="",INDEX(IHZ_HAZ_CONSIGNMENT,169,1)="",),FALSE,TRUE),TRUE)</f>
        <v>1</v>
      </c>
      <c r="H176" s="237" t="str">
        <f t="shared" si="5"/>
        <v>Row 169 - All mandatory fields must be given</v>
      </c>
      <c r="J176" s="52" t="b">
        <f>IF(OR(INDEX(OHZ_HAZ_CONSIGNMENT,169,1)&lt;&gt;"",INDEX(OHZ_HAZ_TRANSDOCID,169,1)&lt;&gt;"",INDEX(OHZ_HAZ_PORTOFLOADING,169,1)&lt;&gt;"",INDEX(OHZ_HAZ_PORTOFDISCHARGE,169,1)&lt;&gt;"",INDEX(OHZ_HAZ_DPGREF,169,1)&lt;&gt;"",INDEX(OHZ_HAZ_DGCLASSIFI,169,1)&lt;&gt;"",INDEX(OHZ_HAZ_TEXTUALREF,169,1)&lt;&gt;"",INDEX(OHZ_HAZ_IMOHAZARDC,169,1)&lt;&gt;"",INDEX(OHZ_HAZ_UNNUMBER,169,1)&lt;&gt;"",INDEX(OHZ_HAZ_TOTAMOUNT,169,1)&lt;&gt;"",INDEX(OHZ_HAZ_PACKINGGRO,169,1)&lt;&gt;"",INDEX(OHZ_HAZ_FLASHPOINT,169,1)&lt;&gt;"",INDEX(OHZ_HAZ_MARPOLCODE,169,1)&lt;&gt;"",INDEX(OHZ_HAZ_PACTYPE,169,1)&lt;&gt;"",INDEX(OHZ_HAZ_TOTALPACKA,169,1)&lt;&gt;"",INDEX(OHZ_HAZ_ADDITIONAL,169,1)&lt;&gt;"",INDEX(OHZ_HAZ_EMS,169,1)&lt;&gt;"",INDEX(OHZ_HAZ_SUBSIDIARY,169,1)&lt;&gt;"",INDEX(OHZ_HAZ_UNITTYPE,169,1)&lt;&gt;"",INDEX(OHZ_HAZ_TEUID,169,1)&lt;&gt;"",INDEX(OHZ_HAZ_LOCATION,169,1)&lt;&gt;"",INDEX(OHZ_HAZ_PACKAGES,169,1)&lt;&gt;"",INDEX(OHZ_HAZ_AMOUNT,169,1)&lt;&gt;"",),IF(OR(INDEX(OHZ_HAZ_DGCLASSIFI,169,1)="",INDEX(OHZ_HAZ_TEXTUALREF,169,1)="",INDEX(OHZ_HAZ_TOTAMOUNT,169,1)="",INDEX(OHZ_HAZ_DPGREF,169,1)="",INDEX(OHZ_HAZ_CONSIGNMENT,169,1)="",),FALSE,TRUE),TRUE)</f>
        <v>1</v>
      </c>
      <c r="K176" s="237" t="str">
        <f t="shared" si="6"/>
        <v>Row 169 - All mandatory fields must be given</v>
      </c>
      <c r="L176" s="236" t="s">
        <v>1853</v>
      </c>
      <c r="S176" s="52"/>
      <c r="T176" s="52" t="s">
        <v>2261</v>
      </c>
      <c r="V176" s="52"/>
    </row>
    <row r="177" spans="6:22">
      <c r="F177" s="236" t="s">
        <v>1853</v>
      </c>
      <c r="G177" s="250" t="b">
        <f>IF(OR(INDEX(IHZ_HAZ_CONSIGNMENT,170,1)&lt;&gt;"",INDEX(IHZ_HAZ_TRANSDOCID,170,1)&lt;&gt;"",INDEX(IHZ_HAZ_PORTOFLOADING,170,1)&lt;&gt;"",INDEX(IHZ_HAZ_PORTOFDISCHARGE,170,1)&lt;&gt;"",INDEX(IHZ_HAZ_DPGREF,170,1)&lt;&gt;"",INDEX(IHZ_HAZ_DGCLASSIFI,170,1)&lt;&gt;"",INDEX(IHZ_HAZ_TEXTUALREF,170,1)&lt;&gt;"",INDEX(IHZ_HAZ_IMOHAZARDC,170,1)&lt;&gt;"",INDEX(IHZ_HAZ_UNNUMBER,170,1)&lt;&gt;"",INDEX(IHZ_HAZ_TOTAMOUNT,170,1)&lt;&gt;"",INDEX(IHZ_HAZ_PACKINGGRO,170,1)&lt;&gt;"",INDEX(IHZ_HAZ_FLASHPOINT,170,1)&lt;&gt;"",INDEX(IHZ_HAZ_MARPOLCODE,170,1)&lt;&gt;"",INDEX(IHZ_HAZ_PACTYPE,170,1)&lt;&gt;"",INDEX(IHZ_HAZ_TOTALPACKA,170,1)&lt;&gt;"",INDEX(IHZ_HAZ_ADDITIONAL,170,1)&lt;&gt;"",INDEX(IHZ_HAZ_EMS,170,1)&lt;&gt;"",INDEX(IHZ_HAZ_SUBSIDIARY,170,1)&lt;&gt;"",INDEX(IHZ_HAZ_UNITTYPE,170,1)&lt;&gt;"",INDEX(IHZ_HAZ_TEUID,170,1)&lt;&gt;"",INDEX(IHZ_HAZ_LOCATION,170,1)&lt;&gt;"",INDEX(IHZ_HAZ_PACKAGES,170,1)&lt;&gt;"",INDEX(IHZ_HAZ_AMOUNT,170,1)&lt;&gt;"",),IF(OR(INDEX(IHZ_HAZ_DGCLASSIFI,170,1)="",INDEX(IHZ_HAZ_TEXTUALREF,170,1)="",INDEX(IHZ_HAZ_TOTAMOUNT,170,1)="",INDEX(IHZ_HAZ_DPGREF,170,1)="",INDEX(IHZ_HAZ_CONSIGNMENT,170,1)="",),FALSE,TRUE),TRUE)</f>
        <v>1</v>
      </c>
      <c r="H177" s="237" t="str">
        <f t="shared" si="5"/>
        <v>Row 170 - All mandatory fields must be given</v>
      </c>
      <c r="J177" s="52" t="b">
        <f>IF(OR(INDEX(OHZ_HAZ_CONSIGNMENT,170,1)&lt;&gt;"",INDEX(OHZ_HAZ_TRANSDOCID,170,1)&lt;&gt;"",INDEX(OHZ_HAZ_PORTOFLOADING,170,1)&lt;&gt;"",INDEX(OHZ_HAZ_PORTOFDISCHARGE,170,1)&lt;&gt;"",INDEX(OHZ_HAZ_DPGREF,170,1)&lt;&gt;"",INDEX(OHZ_HAZ_DGCLASSIFI,170,1)&lt;&gt;"",INDEX(OHZ_HAZ_TEXTUALREF,170,1)&lt;&gt;"",INDEX(OHZ_HAZ_IMOHAZARDC,170,1)&lt;&gt;"",INDEX(OHZ_HAZ_UNNUMBER,170,1)&lt;&gt;"",INDEX(OHZ_HAZ_TOTAMOUNT,170,1)&lt;&gt;"",INDEX(OHZ_HAZ_PACKINGGRO,170,1)&lt;&gt;"",INDEX(OHZ_HAZ_FLASHPOINT,170,1)&lt;&gt;"",INDEX(OHZ_HAZ_MARPOLCODE,170,1)&lt;&gt;"",INDEX(OHZ_HAZ_PACTYPE,170,1)&lt;&gt;"",INDEX(OHZ_HAZ_TOTALPACKA,170,1)&lt;&gt;"",INDEX(OHZ_HAZ_ADDITIONAL,170,1)&lt;&gt;"",INDEX(OHZ_HAZ_EMS,170,1)&lt;&gt;"",INDEX(OHZ_HAZ_SUBSIDIARY,170,1)&lt;&gt;"",INDEX(OHZ_HAZ_UNITTYPE,170,1)&lt;&gt;"",INDEX(OHZ_HAZ_TEUID,170,1)&lt;&gt;"",INDEX(OHZ_HAZ_LOCATION,170,1)&lt;&gt;"",INDEX(OHZ_HAZ_PACKAGES,170,1)&lt;&gt;"",INDEX(OHZ_HAZ_AMOUNT,170,1)&lt;&gt;"",),IF(OR(INDEX(OHZ_HAZ_DGCLASSIFI,170,1)="",INDEX(OHZ_HAZ_TEXTUALREF,170,1)="",INDEX(OHZ_HAZ_TOTAMOUNT,170,1)="",INDEX(OHZ_HAZ_DPGREF,170,1)="",INDEX(OHZ_HAZ_CONSIGNMENT,170,1)="",),FALSE,TRUE),TRUE)</f>
        <v>1</v>
      </c>
      <c r="K177" s="237" t="str">
        <f t="shared" si="6"/>
        <v>Row 170 - All mandatory fields must be given</v>
      </c>
      <c r="L177" s="236" t="s">
        <v>1853</v>
      </c>
      <c r="S177" s="52"/>
      <c r="T177" s="52" t="s">
        <v>2262</v>
      </c>
      <c r="V177" s="52"/>
    </row>
    <row r="178" spans="6:22">
      <c r="F178" s="236" t="s">
        <v>1853</v>
      </c>
      <c r="G178" s="250" t="b">
        <f>IF(OR(INDEX(IHZ_HAZ_CONSIGNMENT,171,1)&lt;&gt;"",INDEX(IHZ_HAZ_TRANSDOCID,171,1)&lt;&gt;"",INDEX(IHZ_HAZ_PORTOFLOADING,171,1)&lt;&gt;"",INDEX(IHZ_HAZ_PORTOFDISCHARGE,171,1)&lt;&gt;"",INDEX(IHZ_HAZ_DPGREF,171,1)&lt;&gt;"",INDEX(IHZ_HAZ_DGCLASSIFI,171,1)&lt;&gt;"",INDEX(IHZ_HAZ_TEXTUALREF,171,1)&lt;&gt;"",INDEX(IHZ_HAZ_IMOHAZARDC,171,1)&lt;&gt;"",INDEX(IHZ_HAZ_UNNUMBER,171,1)&lt;&gt;"",INDEX(IHZ_HAZ_TOTAMOUNT,171,1)&lt;&gt;"",INDEX(IHZ_HAZ_PACKINGGRO,171,1)&lt;&gt;"",INDEX(IHZ_HAZ_FLASHPOINT,171,1)&lt;&gt;"",INDEX(IHZ_HAZ_MARPOLCODE,171,1)&lt;&gt;"",INDEX(IHZ_HAZ_PACTYPE,171,1)&lt;&gt;"",INDEX(IHZ_HAZ_TOTALPACKA,171,1)&lt;&gt;"",INDEX(IHZ_HAZ_ADDITIONAL,171,1)&lt;&gt;"",INDEX(IHZ_HAZ_EMS,171,1)&lt;&gt;"",INDEX(IHZ_HAZ_SUBSIDIARY,171,1)&lt;&gt;"",INDEX(IHZ_HAZ_UNITTYPE,171,1)&lt;&gt;"",INDEX(IHZ_HAZ_TEUID,171,1)&lt;&gt;"",INDEX(IHZ_HAZ_LOCATION,171,1)&lt;&gt;"",INDEX(IHZ_HAZ_PACKAGES,171,1)&lt;&gt;"",INDEX(IHZ_HAZ_AMOUNT,171,1)&lt;&gt;"",),IF(OR(INDEX(IHZ_HAZ_DGCLASSIFI,171,1)="",INDEX(IHZ_HAZ_TEXTUALREF,171,1)="",INDEX(IHZ_HAZ_TOTAMOUNT,171,1)="",INDEX(IHZ_HAZ_DPGREF,171,1)="",INDEX(IHZ_HAZ_CONSIGNMENT,171,1)="",),FALSE,TRUE),TRUE)</f>
        <v>1</v>
      </c>
      <c r="H178" s="237" t="str">
        <f t="shared" si="5"/>
        <v>Row 171 - All mandatory fields must be given</v>
      </c>
      <c r="J178" s="52" t="b">
        <f>IF(OR(INDEX(OHZ_HAZ_CONSIGNMENT,171,1)&lt;&gt;"",INDEX(OHZ_HAZ_TRANSDOCID,171,1)&lt;&gt;"",INDEX(OHZ_HAZ_PORTOFLOADING,171,1)&lt;&gt;"",INDEX(OHZ_HAZ_PORTOFDISCHARGE,171,1)&lt;&gt;"",INDEX(OHZ_HAZ_DPGREF,171,1)&lt;&gt;"",INDEX(OHZ_HAZ_DGCLASSIFI,171,1)&lt;&gt;"",INDEX(OHZ_HAZ_TEXTUALREF,171,1)&lt;&gt;"",INDEX(OHZ_HAZ_IMOHAZARDC,171,1)&lt;&gt;"",INDEX(OHZ_HAZ_UNNUMBER,171,1)&lt;&gt;"",INDEX(OHZ_HAZ_TOTAMOUNT,171,1)&lt;&gt;"",INDEX(OHZ_HAZ_PACKINGGRO,171,1)&lt;&gt;"",INDEX(OHZ_HAZ_FLASHPOINT,171,1)&lt;&gt;"",INDEX(OHZ_HAZ_MARPOLCODE,171,1)&lt;&gt;"",INDEX(OHZ_HAZ_PACTYPE,171,1)&lt;&gt;"",INDEX(OHZ_HAZ_TOTALPACKA,171,1)&lt;&gt;"",INDEX(OHZ_HAZ_ADDITIONAL,171,1)&lt;&gt;"",INDEX(OHZ_HAZ_EMS,171,1)&lt;&gt;"",INDEX(OHZ_HAZ_SUBSIDIARY,171,1)&lt;&gt;"",INDEX(OHZ_HAZ_UNITTYPE,171,1)&lt;&gt;"",INDEX(OHZ_HAZ_TEUID,171,1)&lt;&gt;"",INDEX(OHZ_HAZ_LOCATION,171,1)&lt;&gt;"",INDEX(OHZ_HAZ_PACKAGES,171,1)&lt;&gt;"",INDEX(OHZ_HAZ_AMOUNT,171,1)&lt;&gt;"",),IF(OR(INDEX(OHZ_HAZ_DGCLASSIFI,171,1)="",INDEX(OHZ_HAZ_TEXTUALREF,171,1)="",INDEX(OHZ_HAZ_TOTAMOUNT,171,1)="",INDEX(OHZ_HAZ_DPGREF,171,1)="",INDEX(OHZ_HAZ_CONSIGNMENT,171,1)="",),FALSE,TRUE),TRUE)</f>
        <v>1</v>
      </c>
      <c r="K178" s="237" t="str">
        <f t="shared" si="6"/>
        <v>Row 171 - All mandatory fields must be given</v>
      </c>
      <c r="L178" s="236" t="s">
        <v>1853</v>
      </c>
      <c r="S178" s="52"/>
      <c r="T178" s="52" t="s">
        <v>2263</v>
      </c>
      <c r="V178" s="52"/>
    </row>
    <row r="179" spans="6:22">
      <c r="F179" s="236" t="s">
        <v>1853</v>
      </c>
      <c r="G179" s="250" t="b">
        <f>IF(OR(INDEX(IHZ_HAZ_CONSIGNMENT,172,1)&lt;&gt;"",INDEX(IHZ_HAZ_TRANSDOCID,172,1)&lt;&gt;"",INDEX(IHZ_HAZ_PORTOFLOADING,172,1)&lt;&gt;"",INDEX(IHZ_HAZ_PORTOFDISCHARGE,172,1)&lt;&gt;"",INDEX(IHZ_HAZ_DPGREF,172,1)&lt;&gt;"",INDEX(IHZ_HAZ_DGCLASSIFI,172,1)&lt;&gt;"",INDEX(IHZ_HAZ_TEXTUALREF,172,1)&lt;&gt;"",INDEX(IHZ_HAZ_IMOHAZARDC,172,1)&lt;&gt;"",INDEX(IHZ_HAZ_UNNUMBER,172,1)&lt;&gt;"",INDEX(IHZ_HAZ_TOTAMOUNT,172,1)&lt;&gt;"",INDEX(IHZ_HAZ_PACKINGGRO,172,1)&lt;&gt;"",INDEX(IHZ_HAZ_FLASHPOINT,172,1)&lt;&gt;"",INDEX(IHZ_HAZ_MARPOLCODE,172,1)&lt;&gt;"",INDEX(IHZ_HAZ_PACTYPE,172,1)&lt;&gt;"",INDEX(IHZ_HAZ_TOTALPACKA,172,1)&lt;&gt;"",INDEX(IHZ_HAZ_ADDITIONAL,172,1)&lt;&gt;"",INDEX(IHZ_HAZ_EMS,172,1)&lt;&gt;"",INDEX(IHZ_HAZ_SUBSIDIARY,172,1)&lt;&gt;"",INDEX(IHZ_HAZ_UNITTYPE,172,1)&lt;&gt;"",INDEX(IHZ_HAZ_TEUID,172,1)&lt;&gt;"",INDEX(IHZ_HAZ_LOCATION,172,1)&lt;&gt;"",INDEX(IHZ_HAZ_PACKAGES,172,1)&lt;&gt;"",INDEX(IHZ_HAZ_AMOUNT,172,1)&lt;&gt;"",),IF(OR(INDEX(IHZ_HAZ_DGCLASSIFI,172,1)="",INDEX(IHZ_HAZ_TEXTUALREF,172,1)="",INDEX(IHZ_HAZ_TOTAMOUNT,172,1)="",INDEX(IHZ_HAZ_DPGREF,172,1)="",INDEX(IHZ_HAZ_CONSIGNMENT,172,1)="",),FALSE,TRUE),TRUE)</f>
        <v>1</v>
      </c>
      <c r="H179" s="237" t="str">
        <f t="shared" si="5"/>
        <v>Row 172 - All mandatory fields must be given</v>
      </c>
      <c r="J179" s="52" t="b">
        <f>IF(OR(INDEX(OHZ_HAZ_CONSIGNMENT,172,1)&lt;&gt;"",INDEX(OHZ_HAZ_TRANSDOCID,172,1)&lt;&gt;"",INDEX(OHZ_HAZ_PORTOFLOADING,172,1)&lt;&gt;"",INDEX(OHZ_HAZ_PORTOFDISCHARGE,172,1)&lt;&gt;"",INDEX(OHZ_HAZ_DPGREF,172,1)&lt;&gt;"",INDEX(OHZ_HAZ_DGCLASSIFI,172,1)&lt;&gt;"",INDEX(OHZ_HAZ_TEXTUALREF,172,1)&lt;&gt;"",INDEX(OHZ_HAZ_IMOHAZARDC,172,1)&lt;&gt;"",INDEX(OHZ_HAZ_UNNUMBER,172,1)&lt;&gt;"",INDEX(OHZ_HAZ_TOTAMOUNT,172,1)&lt;&gt;"",INDEX(OHZ_HAZ_PACKINGGRO,172,1)&lt;&gt;"",INDEX(OHZ_HAZ_FLASHPOINT,172,1)&lt;&gt;"",INDEX(OHZ_HAZ_MARPOLCODE,172,1)&lt;&gt;"",INDEX(OHZ_HAZ_PACTYPE,172,1)&lt;&gt;"",INDEX(OHZ_HAZ_TOTALPACKA,172,1)&lt;&gt;"",INDEX(OHZ_HAZ_ADDITIONAL,172,1)&lt;&gt;"",INDEX(OHZ_HAZ_EMS,172,1)&lt;&gt;"",INDEX(OHZ_HAZ_SUBSIDIARY,172,1)&lt;&gt;"",INDEX(OHZ_HAZ_UNITTYPE,172,1)&lt;&gt;"",INDEX(OHZ_HAZ_TEUID,172,1)&lt;&gt;"",INDEX(OHZ_HAZ_LOCATION,172,1)&lt;&gt;"",INDEX(OHZ_HAZ_PACKAGES,172,1)&lt;&gt;"",INDEX(OHZ_HAZ_AMOUNT,172,1)&lt;&gt;"",),IF(OR(INDEX(OHZ_HAZ_DGCLASSIFI,172,1)="",INDEX(OHZ_HAZ_TEXTUALREF,172,1)="",INDEX(OHZ_HAZ_TOTAMOUNT,172,1)="",INDEX(OHZ_HAZ_DPGREF,172,1)="",INDEX(OHZ_HAZ_CONSIGNMENT,172,1)="",),FALSE,TRUE),TRUE)</f>
        <v>1</v>
      </c>
      <c r="K179" s="237" t="str">
        <f t="shared" si="6"/>
        <v>Row 172 - All mandatory fields must be given</v>
      </c>
      <c r="L179" s="236" t="s">
        <v>1853</v>
      </c>
      <c r="S179" s="52"/>
      <c r="T179" s="52" t="s">
        <v>2264</v>
      </c>
      <c r="V179" s="52"/>
    </row>
    <row r="180" spans="6:22">
      <c r="F180" s="236" t="s">
        <v>1853</v>
      </c>
      <c r="G180" s="250" t="b">
        <f>IF(OR(INDEX(IHZ_HAZ_CONSIGNMENT,173,1)&lt;&gt;"",INDEX(IHZ_HAZ_TRANSDOCID,173,1)&lt;&gt;"",INDEX(IHZ_HAZ_PORTOFLOADING,173,1)&lt;&gt;"",INDEX(IHZ_HAZ_PORTOFDISCHARGE,173,1)&lt;&gt;"",INDEX(IHZ_HAZ_DPGREF,173,1)&lt;&gt;"",INDEX(IHZ_HAZ_DGCLASSIFI,173,1)&lt;&gt;"",INDEX(IHZ_HAZ_TEXTUALREF,173,1)&lt;&gt;"",INDEX(IHZ_HAZ_IMOHAZARDC,173,1)&lt;&gt;"",INDEX(IHZ_HAZ_UNNUMBER,173,1)&lt;&gt;"",INDEX(IHZ_HAZ_TOTAMOUNT,173,1)&lt;&gt;"",INDEX(IHZ_HAZ_PACKINGGRO,173,1)&lt;&gt;"",INDEX(IHZ_HAZ_FLASHPOINT,173,1)&lt;&gt;"",INDEX(IHZ_HAZ_MARPOLCODE,173,1)&lt;&gt;"",INDEX(IHZ_HAZ_PACTYPE,173,1)&lt;&gt;"",INDEX(IHZ_HAZ_TOTALPACKA,173,1)&lt;&gt;"",INDEX(IHZ_HAZ_ADDITIONAL,173,1)&lt;&gt;"",INDEX(IHZ_HAZ_EMS,173,1)&lt;&gt;"",INDEX(IHZ_HAZ_SUBSIDIARY,173,1)&lt;&gt;"",INDEX(IHZ_HAZ_UNITTYPE,173,1)&lt;&gt;"",INDEX(IHZ_HAZ_TEUID,173,1)&lt;&gt;"",INDEX(IHZ_HAZ_LOCATION,173,1)&lt;&gt;"",INDEX(IHZ_HAZ_PACKAGES,173,1)&lt;&gt;"",INDEX(IHZ_HAZ_AMOUNT,173,1)&lt;&gt;"",),IF(OR(INDEX(IHZ_HAZ_DGCLASSIFI,173,1)="",INDEX(IHZ_HAZ_TEXTUALREF,173,1)="",INDEX(IHZ_HAZ_TOTAMOUNT,173,1)="",INDEX(IHZ_HAZ_DPGREF,173,1)="",INDEX(IHZ_HAZ_CONSIGNMENT,173,1)="",),FALSE,TRUE),TRUE)</f>
        <v>1</v>
      </c>
      <c r="H180" s="237" t="str">
        <f t="shared" si="5"/>
        <v>Row 173 - All mandatory fields must be given</v>
      </c>
      <c r="J180" s="52" t="b">
        <f>IF(OR(INDEX(OHZ_HAZ_CONSIGNMENT,173,1)&lt;&gt;"",INDEX(OHZ_HAZ_TRANSDOCID,173,1)&lt;&gt;"",INDEX(OHZ_HAZ_PORTOFLOADING,173,1)&lt;&gt;"",INDEX(OHZ_HAZ_PORTOFDISCHARGE,173,1)&lt;&gt;"",INDEX(OHZ_HAZ_DPGREF,173,1)&lt;&gt;"",INDEX(OHZ_HAZ_DGCLASSIFI,173,1)&lt;&gt;"",INDEX(OHZ_HAZ_TEXTUALREF,173,1)&lt;&gt;"",INDEX(OHZ_HAZ_IMOHAZARDC,173,1)&lt;&gt;"",INDEX(OHZ_HAZ_UNNUMBER,173,1)&lt;&gt;"",INDEX(OHZ_HAZ_TOTAMOUNT,173,1)&lt;&gt;"",INDEX(OHZ_HAZ_PACKINGGRO,173,1)&lt;&gt;"",INDEX(OHZ_HAZ_FLASHPOINT,173,1)&lt;&gt;"",INDEX(OHZ_HAZ_MARPOLCODE,173,1)&lt;&gt;"",INDEX(OHZ_HAZ_PACTYPE,173,1)&lt;&gt;"",INDEX(OHZ_HAZ_TOTALPACKA,173,1)&lt;&gt;"",INDEX(OHZ_HAZ_ADDITIONAL,173,1)&lt;&gt;"",INDEX(OHZ_HAZ_EMS,173,1)&lt;&gt;"",INDEX(OHZ_HAZ_SUBSIDIARY,173,1)&lt;&gt;"",INDEX(OHZ_HAZ_UNITTYPE,173,1)&lt;&gt;"",INDEX(OHZ_HAZ_TEUID,173,1)&lt;&gt;"",INDEX(OHZ_HAZ_LOCATION,173,1)&lt;&gt;"",INDEX(OHZ_HAZ_PACKAGES,173,1)&lt;&gt;"",INDEX(OHZ_HAZ_AMOUNT,173,1)&lt;&gt;"",),IF(OR(INDEX(OHZ_HAZ_DGCLASSIFI,173,1)="",INDEX(OHZ_HAZ_TEXTUALREF,173,1)="",INDEX(OHZ_HAZ_TOTAMOUNT,173,1)="",INDEX(OHZ_HAZ_DPGREF,173,1)="",INDEX(OHZ_HAZ_CONSIGNMENT,173,1)="",),FALSE,TRUE),TRUE)</f>
        <v>1</v>
      </c>
      <c r="K180" s="237" t="str">
        <f t="shared" si="6"/>
        <v>Row 173 - All mandatory fields must be given</v>
      </c>
      <c r="L180" s="236" t="s">
        <v>1853</v>
      </c>
      <c r="S180" s="52"/>
      <c r="T180" s="52" t="s">
        <v>2265</v>
      </c>
      <c r="V180" s="52"/>
    </row>
    <row r="181" spans="6:22">
      <c r="F181" s="236" t="s">
        <v>1853</v>
      </c>
      <c r="G181" s="250" t="b">
        <f>IF(OR(INDEX(IHZ_HAZ_CONSIGNMENT,174,1)&lt;&gt;"",INDEX(IHZ_HAZ_TRANSDOCID,174,1)&lt;&gt;"",INDEX(IHZ_HAZ_PORTOFLOADING,174,1)&lt;&gt;"",INDEX(IHZ_HAZ_PORTOFDISCHARGE,174,1)&lt;&gt;"",INDEX(IHZ_HAZ_DPGREF,174,1)&lt;&gt;"",INDEX(IHZ_HAZ_DGCLASSIFI,174,1)&lt;&gt;"",INDEX(IHZ_HAZ_TEXTUALREF,174,1)&lt;&gt;"",INDEX(IHZ_HAZ_IMOHAZARDC,174,1)&lt;&gt;"",INDEX(IHZ_HAZ_UNNUMBER,174,1)&lt;&gt;"",INDEX(IHZ_HAZ_TOTAMOUNT,174,1)&lt;&gt;"",INDEX(IHZ_HAZ_PACKINGGRO,174,1)&lt;&gt;"",INDEX(IHZ_HAZ_FLASHPOINT,174,1)&lt;&gt;"",INDEX(IHZ_HAZ_MARPOLCODE,174,1)&lt;&gt;"",INDEX(IHZ_HAZ_PACTYPE,174,1)&lt;&gt;"",INDEX(IHZ_HAZ_TOTALPACKA,174,1)&lt;&gt;"",INDEX(IHZ_HAZ_ADDITIONAL,174,1)&lt;&gt;"",INDEX(IHZ_HAZ_EMS,174,1)&lt;&gt;"",INDEX(IHZ_HAZ_SUBSIDIARY,174,1)&lt;&gt;"",INDEX(IHZ_HAZ_UNITTYPE,174,1)&lt;&gt;"",INDEX(IHZ_HAZ_TEUID,174,1)&lt;&gt;"",INDEX(IHZ_HAZ_LOCATION,174,1)&lt;&gt;"",INDEX(IHZ_HAZ_PACKAGES,174,1)&lt;&gt;"",INDEX(IHZ_HAZ_AMOUNT,174,1)&lt;&gt;"",),IF(OR(INDEX(IHZ_HAZ_DGCLASSIFI,174,1)="",INDEX(IHZ_HAZ_TEXTUALREF,174,1)="",INDEX(IHZ_HAZ_TOTAMOUNT,174,1)="",INDEX(IHZ_HAZ_DPGREF,174,1)="",INDEX(IHZ_HAZ_CONSIGNMENT,174,1)="",),FALSE,TRUE),TRUE)</f>
        <v>1</v>
      </c>
      <c r="H181" s="237" t="str">
        <f t="shared" si="5"/>
        <v>Row 174 - All mandatory fields must be given</v>
      </c>
      <c r="J181" s="52" t="b">
        <f>IF(OR(INDEX(OHZ_HAZ_CONSIGNMENT,174,1)&lt;&gt;"",INDEX(OHZ_HAZ_TRANSDOCID,174,1)&lt;&gt;"",INDEX(OHZ_HAZ_PORTOFLOADING,174,1)&lt;&gt;"",INDEX(OHZ_HAZ_PORTOFDISCHARGE,174,1)&lt;&gt;"",INDEX(OHZ_HAZ_DPGREF,174,1)&lt;&gt;"",INDEX(OHZ_HAZ_DGCLASSIFI,174,1)&lt;&gt;"",INDEX(OHZ_HAZ_TEXTUALREF,174,1)&lt;&gt;"",INDEX(OHZ_HAZ_IMOHAZARDC,174,1)&lt;&gt;"",INDEX(OHZ_HAZ_UNNUMBER,174,1)&lt;&gt;"",INDEX(OHZ_HAZ_TOTAMOUNT,174,1)&lt;&gt;"",INDEX(OHZ_HAZ_PACKINGGRO,174,1)&lt;&gt;"",INDEX(OHZ_HAZ_FLASHPOINT,174,1)&lt;&gt;"",INDEX(OHZ_HAZ_MARPOLCODE,174,1)&lt;&gt;"",INDEX(OHZ_HAZ_PACTYPE,174,1)&lt;&gt;"",INDEX(OHZ_HAZ_TOTALPACKA,174,1)&lt;&gt;"",INDEX(OHZ_HAZ_ADDITIONAL,174,1)&lt;&gt;"",INDEX(OHZ_HAZ_EMS,174,1)&lt;&gt;"",INDEX(OHZ_HAZ_SUBSIDIARY,174,1)&lt;&gt;"",INDEX(OHZ_HAZ_UNITTYPE,174,1)&lt;&gt;"",INDEX(OHZ_HAZ_TEUID,174,1)&lt;&gt;"",INDEX(OHZ_HAZ_LOCATION,174,1)&lt;&gt;"",INDEX(OHZ_HAZ_PACKAGES,174,1)&lt;&gt;"",INDEX(OHZ_HAZ_AMOUNT,174,1)&lt;&gt;"",),IF(OR(INDEX(OHZ_HAZ_DGCLASSIFI,174,1)="",INDEX(OHZ_HAZ_TEXTUALREF,174,1)="",INDEX(OHZ_HAZ_TOTAMOUNT,174,1)="",INDEX(OHZ_HAZ_DPGREF,174,1)="",INDEX(OHZ_HAZ_CONSIGNMENT,174,1)="",),FALSE,TRUE),TRUE)</f>
        <v>1</v>
      </c>
      <c r="K181" s="237" t="str">
        <f t="shared" si="6"/>
        <v>Row 174 - All mandatory fields must be given</v>
      </c>
      <c r="L181" s="236" t="s">
        <v>1853</v>
      </c>
      <c r="S181" s="52"/>
      <c r="T181" s="52" t="s">
        <v>2266</v>
      </c>
      <c r="V181" s="52"/>
    </row>
    <row r="182" spans="6:22">
      <c r="F182" s="236" t="s">
        <v>1853</v>
      </c>
      <c r="G182" s="250" t="b">
        <f>IF(OR(INDEX(IHZ_HAZ_CONSIGNMENT,175,1)&lt;&gt;"",INDEX(IHZ_HAZ_TRANSDOCID,175,1)&lt;&gt;"",INDEX(IHZ_HAZ_PORTOFLOADING,175,1)&lt;&gt;"",INDEX(IHZ_HAZ_PORTOFDISCHARGE,175,1)&lt;&gt;"",INDEX(IHZ_HAZ_DPGREF,175,1)&lt;&gt;"",INDEX(IHZ_HAZ_DGCLASSIFI,175,1)&lt;&gt;"",INDEX(IHZ_HAZ_TEXTUALREF,175,1)&lt;&gt;"",INDEX(IHZ_HAZ_IMOHAZARDC,175,1)&lt;&gt;"",INDEX(IHZ_HAZ_UNNUMBER,175,1)&lt;&gt;"",INDEX(IHZ_HAZ_TOTAMOUNT,175,1)&lt;&gt;"",INDEX(IHZ_HAZ_PACKINGGRO,175,1)&lt;&gt;"",INDEX(IHZ_HAZ_FLASHPOINT,175,1)&lt;&gt;"",INDEX(IHZ_HAZ_MARPOLCODE,175,1)&lt;&gt;"",INDEX(IHZ_HAZ_PACTYPE,175,1)&lt;&gt;"",INDEX(IHZ_HAZ_TOTALPACKA,175,1)&lt;&gt;"",INDEX(IHZ_HAZ_ADDITIONAL,175,1)&lt;&gt;"",INDEX(IHZ_HAZ_EMS,175,1)&lt;&gt;"",INDEX(IHZ_HAZ_SUBSIDIARY,175,1)&lt;&gt;"",INDEX(IHZ_HAZ_UNITTYPE,175,1)&lt;&gt;"",INDEX(IHZ_HAZ_TEUID,175,1)&lt;&gt;"",INDEX(IHZ_HAZ_LOCATION,175,1)&lt;&gt;"",INDEX(IHZ_HAZ_PACKAGES,175,1)&lt;&gt;"",INDEX(IHZ_HAZ_AMOUNT,175,1)&lt;&gt;"",),IF(OR(INDEX(IHZ_HAZ_DGCLASSIFI,175,1)="",INDEX(IHZ_HAZ_TEXTUALREF,175,1)="",INDEX(IHZ_HAZ_TOTAMOUNT,175,1)="",INDEX(IHZ_HAZ_DPGREF,175,1)="",INDEX(IHZ_HAZ_CONSIGNMENT,175,1)="",),FALSE,TRUE),TRUE)</f>
        <v>1</v>
      </c>
      <c r="H182" s="237" t="str">
        <f t="shared" si="5"/>
        <v>Row 175 - All mandatory fields must be given</v>
      </c>
      <c r="J182" s="52" t="b">
        <f>IF(OR(INDEX(OHZ_HAZ_CONSIGNMENT,175,1)&lt;&gt;"",INDEX(OHZ_HAZ_TRANSDOCID,175,1)&lt;&gt;"",INDEX(OHZ_HAZ_PORTOFLOADING,175,1)&lt;&gt;"",INDEX(OHZ_HAZ_PORTOFDISCHARGE,175,1)&lt;&gt;"",INDEX(OHZ_HAZ_DPGREF,175,1)&lt;&gt;"",INDEX(OHZ_HAZ_DGCLASSIFI,175,1)&lt;&gt;"",INDEX(OHZ_HAZ_TEXTUALREF,175,1)&lt;&gt;"",INDEX(OHZ_HAZ_IMOHAZARDC,175,1)&lt;&gt;"",INDEX(OHZ_HAZ_UNNUMBER,175,1)&lt;&gt;"",INDEX(OHZ_HAZ_TOTAMOUNT,175,1)&lt;&gt;"",INDEX(OHZ_HAZ_PACKINGGRO,175,1)&lt;&gt;"",INDEX(OHZ_HAZ_FLASHPOINT,175,1)&lt;&gt;"",INDEX(OHZ_HAZ_MARPOLCODE,175,1)&lt;&gt;"",INDEX(OHZ_HAZ_PACTYPE,175,1)&lt;&gt;"",INDEX(OHZ_HAZ_TOTALPACKA,175,1)&lt;&gt;"",INDEX(OHZ_HAZ_ADDITIONAL,175,1)&lt;&gt;"",INDEX(OHZ_HAZ_EMS,175,1)&lt;&gt;"",INDEX(OHZ_HAZ_SUBSIDIARY,175,1)&lt;&gt;"",INDEX(OHZ_HAZ_UNITTYPE,175,1)&lt;&gt;"",INDEX(OHZ_HAZ_TEUID,175,1)&lt;&gt;"",INDEX(OHZ_HAZ_LOCATION,175,1)&lt;&gt;"",INDEX(OHZ_HAZ_PACKAGES,175,1)&lt;&gt;"",INDEX(OHZ_HAZ_AMOUNT,175,1)&lt;&gt;"",),IF(OR(INDEX(OHZ_HAZ_DGCLASSIFI,175,1)="",INDEX(OHZ_HAZ_TEXTUALREF,175,1)="",INDEX(OHZ_HAZ_TOTAMOUNT,175,1)="",INDEX(OHZ_HAZ_DPGREF,175,1)="",INDEX(OHZ_HAZ_CONSIGNMENT,175,1)="",),FALSE,TRUE),TRUE)</f>
        <v>1</v>
      </c>
      <c r="K182" s="237" t="str">
        <f t="shared" si="6"/>
        <v>Row 175 - All mandatory fields must be given</v>
      </c>
      <c r="L182" s="236" t="s">
        <v>1853</v>
      </c>
      <c r="S182" s="52"/>
      <c r="T182" s="52" t="s">
        <v>2267</v>
      </c>
      <c r="V182" s="52"/>
    </row>
    <row r="183" spans="6:22">
      <c r="F183" s="236" t="s">
        <v>1853</v>
      </c>
      <c r="G183" s="250" t="b">
        <f>IF(OR(INDEX(IHZ_HAZ_CONSIGNMENT,176,1)&lt;&gt;"",INDEX(IHZ_HAZ_TRANSDOCID,176,1)&lt;&gt;"",INDEX(IHZ_HAZ_PORTOFLOADING,176,1)&lt;&gt;"",INDEX(IHZ_HAZ_PORTOFDISCHARGE,176,1)&lt;&gt;"",INDEX(IHZ_HAZ_DPGREF,176,1)&lt;&gt;"",INDEX(IHZ_HAZ_DGCLASSIFI,176,1)&lt;&gt;"",INDEX(IHZ_HAZ_TEXTUALREF,176,1)&lt;&gt;"",INDEX(IHZ_HAZ_IMOHAZARDC,176,1)&lt;&gt;"",INDEX(IHZ_HAZ_UNNUMBER,176,1)&lt;&gt;"",INDEX(IHZ_HAZ_TOTAMOUNT,176,1)&lt;&gt;"",INDEX(IHZ_HAZ_PACKINGGRO,176,1)&lt;&gt;"",INDEX(IHZ_HAZ_FLASHPOINT,176,1)&lt;&gt;"",INDEX(IHZ_HAZ_MARPOLCODE,176,1)&lt;&gt;"",INDEX(IHZ_HAZ_PACTYPE,176,1)&lt;&gt;"",INDEX(IHZ_HAZ_TOTALPACKA,176,1)&lt;&gt;"",INDEX(IHZ_HAZ_ADDITIONAL,176,1)&lt;&gt;"",INDEX(IHZ_HAZ_EMS,176,1)&lt;&gt;"",INDEX(IHZ_HAZ_SUBSIDIARY,176,1)&lt;&gt;"",INDEX(IHZ_HAZ_UNITTYPE,176,1)&lt;&gt;"",INDEX(IHZ_HAZ_TEUID,176,1)&lt;&gt;"",INDEX(IHZ_HAZ_LOCATION,176,1)&lt;&gt;"",INDEX(IHZ_HAZ_PACKAGES,176,1)&lt;&gt;"",INDEX(IHZ_HAZ_AMOUNT,176,1)&lt;&gt;"",),IF(OR(INDEX(IHZ_HAZ_DGCLASSIFI,176,1)="",INDEX(IHZ_HAZ_TEXTUALREF,176,1)="",INDEX(IHZ_HAZ_TOTAMOUNT,176,1)="",INDEX(IHZ_HAZ_DPGREF,176,1)="",INDEX(IHZ_HAZ_CONSIGNMENT,176,1)="",),FALSE,TRUE),TRUE)</f>
        <v>1</v>
      </c>
      <c r="H183" s="237" t="str">
        <f t="shared" si="5"/>
        <v>Row 176 - All mandatory fields must be given</v>
      </c>
      <c r="J183" s="52" t="b">
        <f>IF(OR(INDEX(OHZ_HAZ_CONSIGNMENT,176,1)&lt;&gt;"",INDEX(OHZ_HAZ_TRANSDOCID,176,1)&lt;&gt;"",INDEX(OHZ_HAZ_PORTOFLOADING,176,1)&lt;&gt;"",INDEX(OHZ_HAZ_PORTOFDISCHARGE,176,1)&lt;&gt;"",INDEX(OHZ_HAZ_DPGREF,176,1)&lt;&gt;"",INDEX(OHZ_HAZ_DGCLASSIFI,176,1)&lt;&gt;"",INDEX(OHZ_HAZ_TEXTUALREF,176,1)&lt;&gt;"",INDEX(OHZ_HAZ_IMOHAZARDC,176,1)&lt;&gt;"",INDEX(OHZ_HAZ_UNNUMBER,176,1)&lt;&gt;"",INDEX(OHZ_HAZ_TOTAMOUNT,176,1)&lt;&gt;"",INDEX(OHZ_HAZ_PACKINGGRO,176,1)&lt;&gt;"",INDEX(OHZ_HAZ_FLASHPOINT,176,1)&lt;&gt;"",INDEX(OHZ_HAZ_MARPOLCODE,176,1)&lt;&gt;"",INDEX(OHZ_HAZ_PACTYPE,176,1)&lt;&gt;"",INDEX(OHZ_HAZ_TOTALPACKA,176,1)&lt;&gt;"",INDEX(OHZ_HAZ_ADDITIONAL,176,1)&lt;&gt;"",INDEX(OHZ_HAZ_EMS,176,1)&lt;&gt;"",INDEX(OHZ_HAZ_SUBSIDIARY,176,1)&lt;&gt;"",INDEX(OHZ_HAZ_UNITTYPE,176,1)&lt;&gt;"",INDEX(OHZ_HAZ_TEUID,176,1)&lt;&gt;"",INDEX(OHZ_HAZ_LOCATION,176,1)&lt;&gt;"",INDEX(OHZ_HAZ_PACKAGES,176,1)&lt;&gt;"",INDEX(OHZ_HAZ_AMOUNT,176,1)&lt;&gt;"",),IF(OR(INDEX(OHZ_HAZ_DGCLASSIFI,176,1)="",INDEX(OHZ_HAZ_TEXTUALREF,176,1)="",INDEX(OHZ_HAZ_TOTAMOUNT,176,1)="",INDEX(OHZ_HAZ_DPGREF,176,1)="",INDEX(OHZ_HAZ_CONSIGNMENT,176,1)="",),FALSE,TRUE),TRUE)</f>
        <v>1</v>
      </c>
      <c r="K183" s="237" t="str">
        <f t="shared" si="6"/>
        <v>Row 176 - All mandatory fields must be given</v>
      </c>
      <c r="L183" s="236" t="s">
        <v>1853</v>
      </c>
      <c r="S183" s="52"/>
      <c r="T183" s="52" t="s">
        <v>2268</v>
      </c>
      <c r="V183" s="52"/>
    </row>
    <row r="184" spans="6:22">
      <c r="F184" s="236" t="s">
        <v>1853</v>
      </c>
      <c r="G184" s="250" t="b">
        <f>IF(OR(INDEX(IHZ_HAZ_CONSIGNMENT,177,1)&lt;&gt;"",INDEX(IHZ_HAZ_TRANSDOCID,177,1)&lt;&gt;"",INDEX(IHZ_HAZ_PORTOFLOADING,177,1)&lt;&gt;"",INDEX(IHZ_HAZ_PORTOFDISCHARGE,177,1)&lt;&gt;"",INDEX(IHZ_HAZ_DPGREF,177,1)&lt;&gt;"",INDEX(IHZ_HAZ_DGCLASSIFI,177,1)&lt;&gt;"",INDEX(IHZ_HAZ_TEXTUALREF,177,1)&lt;&gt;"",INDEX(IHZ_HAZ_IMOHAZARDC,177,1)&lt;&gt;"",INDEX(IHZ_HAZ_UNNUMBER,177,1)&lt;&gt;"",INDEX(IHZ_HAZ_TOTAMOUNT,177,1)&lt;&gt;"",INDEX(IHZ_HAZ_PACKINGGRO,177,1)&lt;&gt;"",INDEX(IHZ_HAZ_FLASHPOINT,177,1)&lt;&gt;"",INDEX(IHZ_HAZ_MARPOLCODE,177,1)&lt;&gt;"",INDEX(IHZ_HAZ_PACTYPE,177,1)&lt;&gt;"",INDEX(IHZ_HAZ_TOTALPACKA,177,1)&lt;&gt;"",INDEX(IHZ_HAZ_ADDITIONAL,177,1)&lt;&gt;"",INDEX(IHZ_HAZ_EMS,177,1)&lt;&gt;"",INDEX(IHZ_HAZ_SUBSIDIARY,177,1)&lt;&gt;"",INDEX(IHZ_HAZ_UNITTYPE,177,1)&lt;&gt;"",INDEX(IHZ_HAZ_TEUID,177,1)&lt;&gt;"",INDEX(IHZ_HAZ_LOCATION,177,1)&lt;&gt;"",INDEX(IHZ_HAZ_PACKAGES,177,1)&lt;&gt;"",INDEX(IHZ_HAZ_AMOUNT,177,1)&lt;&gt;"",),IF(OR(INDEX(IHZ_HAZ_DGCLASSIFI,177,1)="",INDEX(IHZ_HAZ_TEXTUALREF,177,1)="",INDEX(IHZ_HAZ_TOTAMOUNT,177,1)="",INDEX(IHZ_HAZ_DPGREF,177,1)="",INDEX(IHZ_HAZ_CONSIGNMENT,177,1)="",),FALSE,TRUE),TRUE)</f>
        <v>1</v>
      </c>
      <c r="H184" s="237" t="str">
        <f t="shared" si="5"/>
        <v>Row 177 - All mandatory fields must be given</v>
      </c>
      <c r="J184" s="52" t="b">
        <f>IF(OR(INDEX(OHZ_HAZ_CONSIGNMENT,177,1)&lt;&gt;"",INDEX(OHZ_HAZ_TRANSDOCID,177,1)&lt;&gt;"",INDEX(OHZ_HAZ_PORTOFLOADING,177,1)&lt;&gt;"",INDEX(OHZ_HAZ_PORTOFDISCHARGE,177,1)&lt;&gt;"",INDEX(OHZ_HAZ_DPGREF,177,1)&lt;&gt;"",INDEX(OHZ_HAZ_DGCLASSIFI,177,1)&lt;&gt;"",INDEX(OHZ_HAZ_TEXTUALREF,177,1)&lt;&gt;"",INDEX(OHZ_HAZ_IMOHAZARDC,177,1)&lt;&gt;"",INDEX(OHZ_HAZ_UNNUMBER,177,1)&lt;&gt;"",INDEX(OHZ_HAZ_TOTAMOUNT,177,1)&lt;&gt;"",INDEX(OHZ_HAZ_PACKINGGRO,177,1)&lt;&gt;"",INDEX(OHZ_HAZ_FLASHPOINT,177,1)&lt;&gt;"",INDEX(OHZ_HAZ_MARPOLCODE,177,1)&lt;&gt;"",INDEX(OHZ_HAZ_PACTYPE,177,1)&lt;&gt;"",INDEX(OHZ_HAZ_TOTALPACKA,177,1)&lt;&gt;"",INDEX(OHZ_HAZ_ADDITIONAL,177,1)&lt;&gt;"",INDEX(OHZ_HAZ_EMS,177,1)&lt;&gt;"",INDEX(OHZ_HAZ_SUBSIDIARY,177,1)&lt;&gt;"",INDEX(OHZ_HAZ_UNITTYPE,177,1)&lt;&gt;"",INDEX(OHZ_HAZ_TEUID,177,1)&lt;&gt;"",INDEX(OHZ_HAZ_LOCATION,177,1)&lt;&gt;"",INDEX(OHZ_HAZ_PACKAGES,177,1)&lt;&gt;"",INDEX(OHZ_HAZ_AMOUNT,177,1)&lt;&gt;"",),IF(OR(INDEX(OHZ_HAZ_DGCLASSIFI,177,1)="",INDEX(OHZ_HAZ_TEXTUALREF,177,1)="",INDEX(OHZ_HAZ_TOTAMOUNT,177,1)="",INDEX(OHZ_HAZ_DPGREF,177,1)="",INDEX(OHZ_HAZ_CONSIGNMENT,177,1)="",),FALSE,TRUE),TRUE)</f>
        <v>1</v>
      </c>
      <c r="K184" s="237" t="str">
        <f t="shared" si="6"/>
        <v>Row 177 - All mandatory fields must be given</v>
      </c>
      <c r="L184" s="236" t="s">
        <v>1853</v>
      </c>
      <c r="S184" s="52"/>
      <c r="T184" s="52" t="s">
        <v>2269</v>
      </c>
      <c r="V184" s="52"/>
    </row>
    <row r="185" spans="6:22">
      <c r="F185" s="236" t="s">
        <v>1853</v>
      </c>
      <c r="G185" s="250" t="b">
        <f>IF(OR(INDEX(IHZ_HAZ_CONSIGNMENT,178,1)&lt;&gt;"",INDEX(IHZ_HAZ_TRANSDOCID,178,1)&lt;&gt;"",INDEX(IHZ_HAZ_PORTOFLOADING,178,1)&lt;&gt;"",INDEX(IHZ_HAZ_PORTOFDISCHARGE,178,1)&lt;&gt;"",INDEX(IHZ_HAZ_DPGREF,178,1)&lt;&gt;"",INDEX(IHZ_HAZ_DGCLASSIFI,178,1)&lt;&gt;"",INDEX(IHZ_HAZ_TEXTUALREF,178,1)&lt;&gt;"",INDEX(IHZ_HAZ_IMOHAZARDC,178,1)&lt;&gt;"",INDEX(IHZ_HAZ_UNNUMBER,178,1)&lt;&gt;"",INDEX(IHZ_HAZ_TOTAMOUNT,178,1)&lt;&gt;"",INDEX(IHZ_HAZ_PACKINGGRO,178,1)&lt;&gt;"",INDEX(IHZ_HAZ_FLASHPOINT,178,1)&lt;&gt;"",INDEX(IHZ_HAZ_MARPOLCODE,178,1)&lt;&gt;"",INDEX(IHZ_HAZ_PACTYPE,178,1)&lt;&gt;"",INDEX(IHZ_HAZ_TOTALPACKA,178,1)&lt;&gt;"",INDEX(IHZ_HAZ_ADDITIONAL,178,1)&lt;&gt;"",INDEX(IHZ_HAZ_EMS,178,1)&lt;&gt;"",INDEX(IHZ_HAZ_SUBSIDIARY,178,1)&lt;&gt;"",INDEX(IHZ_HAZ_UNITTYPE,178,1)&lt;&gt;"",INDEX(IHZ_HAZ_TEUID,178,1)&lt;&gt;"",INDEX(IHZ_HAZ_LOCATION,178,1)&lt;&gt;"",INDEX(IHZ_HAZ_PACKAGES,178,1)&lt;&gt;"",INDEX(IHZ_HAZ_AMOUNT,178,1)&lt;&gt;"",),IF(OR(INDEX(IHZ_HAZ_DGCLASSIFI,178,1)="",INDEX(IHZ_HAZ_TEXTUALREF,178,1)="",INDEX(IHZ_HAZ_TOTAMOUNT,178,1)="",INDEX(IHZ_HAZ_DPGREF,178,1)="",INDEX(IHZ_HAZ_CONSIGNMENT,178,1)="",),FALSE,TRUE),TRUE)</f>
        <v>1</v>
      </c>
      <c r="H185" s="237" t="str">
        <f t="shared" si="5"/>
        <v>Row 178 - All mandatory fields must be given</v>
      </c>
      <c r="J185" s="52" t="b">
        <f>IF(OR(INDEX(OHZ_HAZ_CONSIGNMENT,178,1)&lt;&gt;"",INDEX(OHZ_HAZ_TRANSDOCID,178,1)&lt;&gt;"",INDEX(OHZ_HAZ_PORTOFLOADING,178,1)&lt;&gt;"",INDEX(OHZ_HAZ_PORTOFDISCHARGE,178,1)&lt;&gt;"",INDEX(OHZ_HAZ_DPGREF,178,1)&lt;&gt;"",INDEX(OHZ_HAZ_DGCLASSIFI,178,1)&lt;&gt;"",INDEX(OHZ_HAZ_TEXTUALREF,178,1)&lt;&gt;"",INDEX(OHZ_HAZ_IMOHAZARDC,178,1)&lt;&gt;"",INDEX(OHZ_HAZ_UNNUMBER,178,1)&lt;&gt;"",INDEX(OHZ_HAZ_TOTAMOUNT,178,1)&lt;&gt;"",INDEX(OHZ_HAZ_PACKINGGRO,178,1)&lt;&gt;"",INDEX(OHZ_HAZ_FLASHPOINT,178,1)&lt;&gt;"",INDEX(OHZ_HAZ_MARPOLCODE,178,1)&lt;&gt;"",INDEX(OHZ_HAZ_PACTYPE,178,1)&lt;&gt;"",INDEX(OHZ_HAZ_TOTALPACKA,178,1)&lt;&gt;"",INDEX(OHZ_HAZ_ADDITIONAL,178,1)&lt;&gt;"",INDEX(OHZ_HAZ_EMS,178,1)&lt;&gt;"",INDEX(OHZ_HAZ_SUBSIDIARY,178,1)&lt;&gt;"",INDEX(OHZ_HAZ_UNITTYPE,178,1)&lt;&gt;"",INDEX(OHZ_HAZ_TEUID,178,1)&lt;&gt;"",INDEX(OHZ_HAZ_LOCATION,178,1)&lt;&gt;"",INDEX(OHZ_HAZ_PACKAGES,178,1)&lt;&gt;"",INDEX(OHZ_HAZ_AMOUNT,178,1)&lt;&gt;"",),IF(OR(INDEX(OHZ_HAZ_DGCLASSIFI,178,1)="",INDEX(OHZ_HAZ_TEXTUALREF,178,1)="",INDEX(OHZ_HAZ_TOTAMOUNT,178,1)="",INDEX(OHZ_HAZ_DPGREF,178,1)="",INDEX(OHZ_HAZ_CONSIGNMENT,178,1)="",),FALSE,TRUE),TRUE)</f>
        <v>1</v>
      </c>
      <c r="K185" s="237" t="str">
        <f t="shared" si="6"/>
        <v>Row 178 - All mandatory fields must be given</v>
      </c>
      <c r="L185" s="236" t="s">
        <v>1853</v>
      </c>
      <c r="S185" s="52"/>
      <c r="T185" s="52" t="s">
        <v>2270</v>
      </c>
      <c r="V185" s="52"/>
    </row>
    <row r="186" spans="6:22">
      <c r="F186" s="236" t="s">
        <v>1853</v>
      </c>
      <c r="G186" s="250" t="b">
        <f>IF(OR(INDEX(IHZ_HAZ_CONSIGNMENT,179,1)&lt;&gt;"",INDEX(IHZ_HAZ_TRANSDOCID,179,1)&lt;&gt;"",INDEX(IHZ_HAZ_PORTOFLOADING,179,1)&lt;&gt;"",INDEX(IHZ_HAZ_PORTOFDISCHARGE,179,1)&lt;&gt;"",INDEX(IHZ_HAZ_DPGREF,179,1)&lt;&gt;"",INDEX(IHZ_HAZ_DGCLASSIFI,179,1)&lt;&gt;"",INDEX(IHZ_HAZ_TEXTUALREF,179,1)&lt;&gt;"",INDEX(IHZ_HAZ_IMOHAZARDC,179,1)&lt;&gt;"",INDEX(IHZ_HAZ_UNNUMBER,179,1)&lt;&gt;"",INDEX(IHZ_HAZ_TOTAMOUNT,179,1)&lt;&gt;"",INDEX(IHZ_HAZ_PACKINGGRO,179,1)&lt;&gt;"",INDEX(IHZ_HAZ_FLASHPOINT,179,1)&lt;&gt;"",INDEX(IHZ_HAZ_MARPOLCODE,179,1)&lt;&gt;"",INDEX(IHZ_HAZ_PACTYPE,179,1)&lt;&gt;"",INDEX(IHZ_HAZ_TOTALPACKA,179,1)&lt;&gt;"",INDEX(IHZ_HAZ_ADDITIONAL,179,1)&lt;&gt;"",INDEX(IHZ_HAZ_EMS,179,1)&lt;&gt;"",INDEX(IHZ_HAZ_SUBSIDIARY,179,1)&lt;&gt;"",INDEX(IHZ_HAZ_UNITTYPE,179,1)&lt;&gt;"",INDEX(IHZ_HAZ_TEUID,179,1)&lt;&gt;"",INDEX(IHZ_HAZ_LOCATION,179,1)&lt;&gt;"",INDEX(IHZ_HAZ_PACKAGES,179,1)&lt;&gt;"",INDEX(IHZ_HAZ_AMOUNT,179,1)&lt;&gt;"",),IF(OR(INDEX(IHZ_HAZ_DGCLASSIFI,179,1)="",INDEX(IHZ_HAZ_TEXTUALREF,179,1)="",INDEX(IHZ_HAZ_TOTAMOUNT,179,1)="",INDEX(IHZ_HAZ_DPGREF,179,1)="",INDEX(IHZ_HAZ_CONSIGNMENT,179,1)="",),FALSE,TRUE),TRUE)</f>
        <v>1</v>
      </c>
      <c r="H186" s="237" t="str">
        <f t="shared" si="5"/>
        <v>Row 179 - All mandatory fields must be given</v>
      </c>
      <c r="J186" s="52" t="b">
        <f>IF(OR(INDEX(OHZ_HAZ_CONSIGNMENT,179,1)&lt;&gt;"",INDEX(OHZ_HAZ_TRANSDOCID,179,1)&lt;&gt;"",INDEX(OHZ_HAZ_PORTOFLOADING,179,1)&lt;&gt;"",INDEX(OHZ_HAZ_PORTOFDISCHARGE,179,1)&lt;&gt;"",INDEX(OHZ_HAZ_DPGREF,179,1)&lt;&gt;"",INDEX(OHZ_HAZ_DGCLASSIFI,179,1)&lt;&gt;"",INDEX(OHZ_HAZ_TEXTUALREF,179,1)&lt;&gt;"",INDEX(OHZ_HAZ_IMOHAZARDC,179,1)&lt;&gt;"",INDEX(OHZ_HAZ_UNNUMBER,179,1)&lt;&gt;"",INDEX(OHZ_HAZ_TOTAMOUNT,179,1)&lt;&gt;"",INDEX(OHZ_HAZ_PACKINGGRO,179,1)&lt;&gt;"",INDEX(OHZ_HAZ_FLASHPOINT,179,1)&lt;&gt;"",INDEX(OHZ_HAZ_MARPOLCODE,179,1)&lt;&gt;"",INDEX(OHZ_HAZ_PACTYPE,179,1)&lt;&gt;"",INDEX(OHZ_HAZ_TOTALPACKA,179,1)&lt;&gt;"",INDEX(OHZ_HAZ_ADDITIONAL,179,1)&lt;&gt;"",INDEX(OHZ_HAZ_EMS,179,1)&lt;&gt;"",INDEX(OHZ_HAZ_SUBSIDIARY,179,1)&lt;&gt;"",INDEX(OHZ_HAZ_UNITTYPE,179,1)&lt;&gt;"",INDEX(OHZ_HAZ_TEUID,179,1)&lt;&gt;"",INDEX(OHZ_HAZ_LOCATION,179,1)&lt;&gt;"",INDEX(OHZ_HAZ_PACKAGES,179,1)&lt;&gt;"",INDEX(OHZ_HAZ_AMOUNT,179,1)&lt;&gt;"",),IF(OR(INDEX(OHZ_HAZ_DGCLASSIFI,179,1)="",INDEX(OHZ_HAZ_TEXTUALREF,179,1)="",INDEX(OHZ_HAZ_TOTAMOUNT,179,1)="",INDEX(OHZ_HAZ_DPGREF,179,1)="",INDEX(OHZ_HAZ_CONSIGNMENT,179,1)="",),FALSE,TRUE),TRUE)</f>
        <v>1</v>
      </c>
      <c r="K186" s="237" t="str">
        <f t="shared" si="6"/>
        <v>Row 179 - All mandatory fields must be given</v>
      </c>
      <c r="L186" s="236" t="s">
        <v>1853</v>
      </c>
      <c r="S186" s="52"/>
      <c r="T186" s="52" t="s">
        <v>2271</v>
      </c>
      <c r="V186" s="52"/>
    </row>
    <row r="187" spans="6:22">
      <c r="F187" s="236" t="s">
        <v>1853</v>
      </c>
      <c r="G187" s="250" t="b">
        <f>IF(OR(INDEX(IHZ_HAZ_CONSIGNMENT,180,1)&lt;&gt;"",INDEX(IHZ_HAZ_TRANSDOCID,180,1)&lt;&gt;"",INDEX(IHZ_HAZ_PORTOFLOADING,180,1)&lt;&gt;"",INDEX(IHZ_HAZ_PORTOFDISCHARGE,180,1)&lt;&gt;"",INDEX(IHZ_HAZ_DPGREF,180,1)&lt;&gt;"",INDEX(IHZ_HAZ_DGCLASSIFI,180,1)&lt;&gt;"",INDEX(IHZ_HAZ_TEXTUALREF,180,1)&lt;&gt;"",INDEX(IHZ_HAZ_IMOHAZARDC,180,1)&lt;&gt;"",INDEX(IHZ_HAZ_UNNUMBER,180,1)&lt;&gt;"",INDEX(IHZ_HAZ_TOTAMOUNT,180,1)&lt;&gt;"",INDEX(IHZ_HAZ_PACKINGGRO,180,1)&lt;&gt;"",INDEX(IHZ_HAZ_FLASHPOINT,180,1)&lt;&gt;"",INDEX(IHZ_HAZ_MARPOLCODE,180,1)&lt;&gt;"",INDEX(IHZ_HAZ_PACTYPE,180,1)&lt;&gt;"",INDEX(IHZ_HAZ_TOTALPACKA,180,1)&lt;&gt;"",INDEX(IHZ_HAZ_ADDITIONAL,180,1)&lt;&gt;"",INDEX(IHZ_HAZ_EMS,180,1)&lt;&gt;"",INDEX(IHZ_HAZ_SUBSIDIARY,180,1)&lt;&gt;"",INDEX(IHZ_HAZ_UNITTYPE,180,1)&lt;&gt;"",INDEX(IHZ_HAZ_TEUID,180,1)&lt;&gt;"",INDEX(IHZ_HAZ_LOCATION,180,1)&lt;&gt;"",INDEX(IHZ_HAZ_PACKAGES,180,1)&lt;&gt;"",INDEX(IHZ_HAZ_AMOUNT,180,1)&lt;&gt;"",),IF(OR(INDEX(IHZ_HAZ_DGCLASSIFI,180,1)="",INDEX(IHZ_HAZ_TEXTUALREF,180,1)="",INDEX(IHZ_HAZ_TOTAMOUNT,180,1)="",INDEX(IHZ_HAZ_DPGREF,180,1)="",INDEX(IHZ_HAZ_CONSIGNMENT,180,1)="",),FALSE,TRUE),TRUE)</f>
        <v>1</v>
      </c>
      <c r="H187" s="237" t="str">
        <f t="shared" si="5"/>
        <v>Row 180 - All mandatory fields must be given</v>
      </c>
      <c r="J187" s="52" t="b">
        <f>IF(OR(INDEX(OHZ_HAZ_CONSIGNMENT,180,1)&lt;&gt;"",INDEX(OHZ_HAZ_TRANSDOCID,180,1)&lt;&gt;"",INDEX(OHZ_HAZ_PORTOFLOADING,180,1)&lt;&gt;"",INDEX(OHZ_HAZ_PORTOFDISCHARGE,180,1)&lt;&gt;"",INDEX(OHZ_HAZ_DPGREF,180,1)&lt;&gt;"",INDEX(OHZ_HAZ_DGCLASSIFI,180,1)&lt;&gt;"",INDEX(OHZ_HAZ_TEXTUALREF,180,1)&lt;&gt;"",INDEX(OHZ_HAZ_IMOHAZARDC,180,1)&lt;&gt;"",INDEX(OHZ_HAZ_UNNUMBER,180,1)&lt;&gt;"",INDEX(OHZ_HAZ_TOTAMOUNT,180,1)&lt;&gt;"",INDEX(OHZ_HAZ_PACKINGGRO,180,1)&lt;&gt;"",INDEX(OHZ_HAZ_FLASHPOINT,180,1)&lt;&gt;"",INDEX(OHZ_HAZ_MARPOLCODE,180,1)&lt;&gt;"",INDEX(OHZ_HAZ_PACTYPE,180,1)&lt;&gt;"",INDEX(OHZ_HAZ_TOTALPACKA,180,1)&lt;&gt;"",INDEX(OHZ_HAZ_ADDITIONAL,180,1)&lt;&gt;"",INDEX(OHZ_HAZ_EMS,180,1)&lt;&gt;"",INDEX(OHZ_HAZ_SUBSIDIARY,180,1)&lt;&gt;"",INDEX(OHZ_HAZ_UNITTYPE,180,1)&lt;&gt;"",INDEX(OHZ_HAZ_TEUID,180,1)&lt;&gt;"",INDEX(OHZ_HAZ_LOCATION,180,1)&lt;&gt;"",INDEX(OHZ_HAZ_PACKAGES,180,1)&lt;&gt;"",INDEX(OHZ_HAZ_AMOUNT,180,1)&lt;&gt;"",),IF(OR(INDEX(OHZ_HAZ_DGCLASSIFI,180,1)="",INDEX(OHZ_HAZ_TEXTUALREF,180,1)="",INDEX(OHZ_HAZ_TOTAMOUNT,180,1)="",INDEX(OHZ_HAZ_DPGREF,180,1)="",INDEX(OHZ_HAZ_CONSIGNMENT,180,1)="",),FALSE,TRUE),TRUE)</f>
        <v>1</v>
      </c>
      <c r="K187" s="237" t="str">
        <f t="shared" si="6"/>
        <v>Row 180 - All mandatory fields must be given</v>
      </c>
      <c r="L187" s="236" t="s">
        <v>1853</v>
      </c>
      <c r="S187" s="52"/>
      <c r="T187" s="52" t="s">
        <v>2272</v>
      </c>
      <c r="V187" s="52"/>
    </row>
    <row r="188" spans="6:22">
      <c r="F188" s="236" t="s">
        <v>1853</v>
      </c>
      <c r="G188" s="250" t="b">
        <f>IF(OR(INDEX(IHZ_HAZ_CONSIGNMENT,181,1)&lt;&gt;"",INDEX(IHZ_HAZ_TRANSDOCID,181,1)&lt;&gt;"",INDEX(IHZ_HAZ_PORTOFLOADING,181,1)&lt;&gt;"",INDEX(IHZ_HAZ_PORTOFDISCHARGE,181,1)&lt;&gt;"",INDEX(IHZ_HAZ_DPGREF,181,1)&lt;&gt;"",INDEX(IHZ_HAZ_DGCLASSIFI,181,1)&lt;&gt;"",INDEX(IHZ_HAZ_TEXTUALREF,181,1)&lt;&gt;"",INDEX(IHZ_HAZ_IMOHAZARDC,181,1)&lt;&gt;"",INDEX(IHZ_HAZ_UNNUMBER,181,1)&lt;&gt;"",INDEX(IHZ_HAZ_TOTAMOUNT,181,1)&lt;&gt;"",INDEX(IHZ_HAZ_PACKINGGRO,181,1)&lt;&gt;"",INDEX(IHZ_HAZ_FLASHPOINT,181,1)&lt;&gt;"",INDEX(IHZ_HAZ_MARPOLCODE,181,1)&lt;&gt;"",INDEX(IHZ_HAZ_PACTYPE,181,1)&lt;&gt;"",INDEX(IHZ_HAZ_TOTALPACKA,181,1)&lt;&gt;"",INDEX(IHZ_HAZ_ADDITIONAL,181,1)&lt;&gt;"",INDEX(IHZ_HAZ_EMS,181,1)&lt;&gt;"",INDEX(IHZ_HAZ_SUBSIDIARY,181,1)&lt;&gt;"",INDEX(IHZ_HAZ_UNITTYPE,181,1)&lt;&gt;"",INDEX(IHZ_HAZ_TEUID,181,1)&lt;&gt;"",INDEX(IHZ_HAZ_LOCATION,181,1)&lt;&gt;"",INDEX(IHZ_HAZ_PACKAGES,181,1)&lt;&gt;"",INDEX(IHZ_HAZ_AMOUNT,181,1)&lt;&gt;"",),IF(OR(INDEX(IHZ_HAZ_DGCLASSIFI,181,1)="",INDEX(IHZ_HAZ_TEXTUALREF,181,1)="",INDEX(IHZ_HAZ_TOTAMOUNT,181,1)="",INDEX(IHZ_HAZ_DPGREF,181,1)="",INDEX(IHZ_HAZ_CONSIGNMENT,181,1)="",),FALSE,TRUE),TRUE)</f>
        <v>1</v>
      </c>
      <c r="H188" s="237" t="str">
        <f t="shared" si="5"/>
        <v>Row 181 - All mandatory fields must be given</v>
      </c>
      <c r="J188" s="52" t="b">
        <f>IF(OR(INDEX(OHZ_HAZ_CONSIGNMENT,181,1)&lt;&gt;"",INDEX(OHZ_HAZ_TRANSDOCID,181,1)&lt;&gt;"",INDEX(OHZ_HAZ_PORTOFLOADING,181,1)&lt;&gt;"",INDEX(OHZ_HAZ_PORTOFDISCHARGE,181,1)&lt;&gt;"",INDEX(OHZ_HAZ_DPGREF,181,1)&lt;&gt;"",INDEX(OHZ_HAZ_DGCLASSIFI,181,1)&lt;&gt;"",INDEX(OHZ_HAZ_TEXTUALREF,181,1)&lt;&gt;"",INDEX(OHZ_HAZ_IMOHAZARDC,181,1)&lt;&gt;"",INDEX(OHZ_HAZ_UNNUMBER,181,1)&lt;&gt;"",INDEX(OHZ_HAZ_TOTAMOUNT,181,1)&lt;&gt;"",INDEX(OHZ_HAZ_PACKINGGRO,181,1)&lt;&gt;"",INDEX(OHZ_HAZ_FLASHPOINT,181,1)&lt;&gt;"",INDEX(OHZ_HAZ_MARPOLCODE,181,1)&lt;&gt;"",INDEX(OHZ_HAZ_PACTYPE,181,1)&lt;&gt;"",INDEX(OHZ_HAZ_TOTALPACKA,181,1)&lt;&gt;"",INDEX(OHZ_HAZ_ADDITIONAL,181,1)&lt;&gt;"",INDEX(OHZ_HAZ_EMS,181,1)&lt;&gt;"",INDEX(OHZ_HAZ_SUBSIDIARY,181,1)&lt;&gt;"",INDEX(OHZ_HAZ_UNITTYPE,181,1)&lt;&gt;"",INDEX(OHZ_HAZ_TEUID,181,1)&lt;&gt;"",INDEX(OHZ_HAZ_LOCATION,181,1)&lt;&gt;"",INDEX(OHZ_HAZ_PACKAGES,181,1)&lt;&gt;"",INDEX(OHZ_HAZ_AMOUNT,181,1)&lt;&gt;"",),IF(OR(INDEX(OHZ_HAZ_DGCLASSIFI,181,1)="",INDEX(OHZ_HAZ_TEXTUALREF,181,1)="",INDEX(OHZ_HAZ_TOTAMOUNT,181,1)="",INDEX(OHZ_HAZ_DPGREF,181,1)="",INDEX(OHZ_HAZ_CONSIGNMENT,181,1)="",),FALSE,TRUE),TRUE)</f>
        <v>1</v>
      </c>
      <c r="K188" s="237" t="str">
        <f t="shared" si="6"/>
        <v>Row 181 - All mandatory fields must be given</v>
      </c>
      <c r="L188" s="236" t="s">
        <v>1853</v>
      </c>
      <c r="S188" s="52"/>
      <c r="T188" s="52" t="s">
        <v>2273</v>
      </c>
      <c r="V188" s="52"/>
    </row>
    <row r="189" spans="6:22">
      <c r="F189" s="236" t="s">
        <v>1853</v>
      </c>
      <c r="G189" s="250" t="b">
        <f>IF(OR(INDEX(IHZ_HAZ_CONSIGNMENT,182,1)&lt;&gt;"",INDEX(IHZ_HAZ_TRANSDOCID,182,1)&lt;&gt;"",INDEX(IHZ_HAZ_PORTOFLOADING,182,1)&lt;&gt;"",INDEX(IHZ_HAZ_PORTOFDISCHARGE,182,1)&lt;&gt;"",INDEX(IHZ_HAZ_DPGREF,182,1)&lt;&gt;"",INDEX(IHZ_HAZ_DGCLASSIFI,182,1)&lt;&gt;"",INDEX(IHZ_HAZ_TEXTUALREF,182,1)&lt;&gt;"",INDEX(IHZ_HAZ_IMOHAZARDC,182,1)&lt;&gt;"",INDEX(IHZ_HAZ_UNNUMBER,182,1)&lt;&gt;"",INDEX(IHZ_HAZ_TOTAMOUNT,182,1)&lt;&gt;"",INDEX(IHZ_HAZ_PACKINGGRO,182,1)&lt;&gt;"",INDEX(IHZ_HAZ_FLASHPOINT,182,1)&lt;&gt;"",INDEX(IHZ_HAZ_MARPOLCODE,182,1)&lt;&gt;"",INDEX(IHZ_HAZ_PACTYPE,182,1)&lt;&gt;"",INDEX(IHZ_HAZ_TOTALPACKA,182,1)&lt;&gt;"",INDEX(IHZ_HAZ_ADDITIONAL,182,1)&lt;&gt;"",INDEX(IHZ_HAZ_EMS,182,1)&lt;&gt;"",INDEX(IHZ_HAZ_SUBSIDIARY,182,1)&lt;&gt;"",INDEX(IHZ_HAZ_UNITTYPE,182,1)&lt;&gt;"",INDEX(IHZ_HAZ_TEUID,182,1)&lt;&gt;"",INDEX(IHZ_HAZ_LOCATION,182,1)&lt;&gt;"",INDEX(IHZ_HAZ_PACKAGES,182,1)&lt;&gt;"",INDEX(IHZ_HAZ_AMOUNT,182,1)&lt;&gt;"",),IF(OR(INDEX(IHZ_HAZ_DGCLASSIFI,182,1)="",INDEX(IHZ_HAZ_TEXTUALREF,182,1)="",INDEX(IHZ_HAZ_TOTAMOUNT,182,1)="",INDEX(IHZ_HAZ_DPGREF,182,1)="",INDEX(IHZ_HAZ_CONSIGNMENT,182,1)="",),FALSE,TRUE),TRUE)</f>
        <v>1</v>
      </c>
      <c r="H189" s="237" t="str">
        <f t="shared" si="5"/>
        <v>Row 182 - All mandatory fields must be given</v>
      </c>
      <c r="J189" s="52" t="b">
        <f>IF(OR(INDEX(OHZ_HAZ_CONSIGNMENT,182,1)&lt;&gt;"",INDEX(OHZ_HAZ_TRANSDOCID,182,1)&lt;&gt;"",INDEX(OHZ_HAZ_PORTOFLOADING,182,1)&lt;&gt;"",INDEX(OHZ_HAZ_PORTOFDISCHARGE,182,1)&lt;&gt;"",INDEX(OHZ_HAZ_DPGREF,182,1)&lt;&gt;"",INDEX(OHZ_HAZ_DGCLASSIFI,182,1)&lt;&gt;"",INDEX(OHZ_HAZ_TEXTUALREF,182,1)&lt;&gt;"",INDEX(OHZ_HAZ_IMOHAZARDC,182,1)&lt;&gt;"",INDEX(OHZ_HAZ_UNNUMBER,182,1)&lt;&gt;"",INDEX(OHZ_HAZ_TOTAMOUNT,182,1)&lt;&gt;"",INDEX(OHZ_HAZ_PACKINGGRO,182,1)&lt;&gt;"",INDEX(OHZ_HAZ_FLASHPOINT,182,1)&lt;&gt;"",INDEX(OHZ_HAZ_MARPOLCODE,182,1)&lt;&gt;"",INDEX(OHZ_HAZ_PACTYPE,182,1)&lt;&gt;"",INDEX(OHZ_HAZ_TOTALPACKA,182,1)&lt;&gt;"",INDEX(OHZ_HAZ_ADDITIONAL,182,1)&lt;&gt;"",INDEX(OHZ_HAZ_EMS,182,1)&lt;&gt;"",INDEX(OHZ_HAZ_SUBSIDIARY,182,1)&lt;&gt;"",INDEX(OHZ_HAZ_UNITTYPE,182,1)&lt;&gt;"",INDEX(OHZ_HAZ_TEUID,182,1)&lt;&gt;"",INDEX(OHZ_HAZ_LOCATION,182,1)&lt;&gt;"",INDEX(OHZ_HAZ_PACKAGES,182,1)&lt;&gt;"",INDEX(OHZ_HAZ_AMOUNT,182,1)&lt;&gt;"",),IF(OR(INDEX(OHZ_HAZ_DGCLASSIFI,182,1)="",INDEX(OHZ_HAZ_TEXTUALREF,182,1)="",INDEX(OHZ_HAZ_TOTAMOUNT,182,1)="",INDEX(OHZ_HAZ_DPGREF,182,1)="",INDEX(OHZ_HAZ_CONSIGNMENT,182,1)="",),FALSE,TRUE),TRUE)</f>
        <v>1</v>
      </c>
      <c r="K189" s="237" t="str">
        <f t="shared" si="6"/>
        <v>Row 182 - All mandatory fields must be given</v>
      </c>
      <c r="L189" s="236" t="s">
        <v>1853</v>
      </c>
      <c r="S189" s="52"/>
      <c r="T189" s="52" t="s">
        <v>2274</v>
      </c>
      <c r="V189" s="52"/>
    </row>
    <row r="190" spans="6:22">
      <c r="F190" s="236" t="s">
        <v>1853</v>
      </c>
      <c r="G190" s="250" t="b">
        <f>IF(OR(INDEX(IHZ_HAZ_CONSIGNMENT,183,1)&lt;&gt;"",INDEX(IHZ_HAZ_TRANSDOCID,183,1)&lt;&gt;"",INDEX(IHZ_HAZ_PORTOFLOADING,183,1)&lt;&gt;"",INDEX(IHZ_HAZ_PORTOFDISCHARGE,183,1)&lt;&gt;"",INDEX(IHZ_HAZ_DPGREF,183,1)&lt;&gt;"",INDEX(IHZ_HAZ_DGCLASSIFI,183,1)&lt;&gt;"",INDEX(IHZ_HAZ_TEXTUALREF,183,1)&lt;&gt;"",INDEX(IHZ_HAZ_IMOHAZARDC,183,1)&lt;&gt;"",INDEX(IHZ_HAZ_UNNUMBER,183,1)&lt;&gt;"",INDEX(IHZ_HAZ_TOTAMOUNT,183,1)&lt;&gt;"",INDEX(IHZ_HAZ_PACKINGGRO,183,1)&lt;&gt;"",INDEX(IHZ_HAZ_FLASHPOINT,183,1)&lt;&gt;"",INDEX(IHZ_HAZ_MARPOLCODE,183,1)&lt;&gt;"",INDEX(IHZ_HAZ_PACTYPE,183,1)&lt;&gt;"",INDEX(IHZ_HAZ_TOTALPACKA,183,1)&lt;&gt;"",INDEX(IHZ_HAZ_ADDITIONAL,183,1)&lt;&gt;"",INDEX(IHZ_HAZ_EMS,183,1)&lt;&gt;"",INDEX(IHZ_HAZ_SUBSIDIARY,183,1)&lt;&gt;"",INDEX(IHZ_HAZ_UNITTYPE,183,1)&lt;&gt;"",INDEX(IHZ_HAZ_TEUID,183,1)&lt;&gt;"",INDEX(IHZ_HAZ_LOCATION,183,1)&lt;&gt;"",INDEX(IHZ_HAZ_PACKAGES,183,1)&lt;&gt;"",INDEX(IHZ_HAZ_AMOUNT,183,1)&lt;&gt;"",),IF(OR(INDEX(IHZ_HAZ_DGCLASSIFI,183,1)="",INDEX(IHZ_HAZ_TEXTUALREF,183,1)="",INDEX(IHZ_HAZ_TOTAMOUNT,183,1)="",INDEX(IHZ_HAZ_DPGREF,183,1)="",INDEX(IHZ_HAZ_CONSIGNMENT,183,1)="",),FALSE,TRUE),TRUE)</f>
        <v>1</v>
      </c>
      <c r="H190" s="237" t="str">
        <f t="shared" si="5"/>
        <v>Row 183 - All mandatory fields must be given</v>
      </c>
      <c r="J190" s="52" t="b">
        <f>IF(OR(INDEX(OHZ_HAZ_CONSIGNMENT,183,1)&lt;&gt;"",INDEX(OHZ_HAZ_TRANSDOCID,183,1)&lt;&gt;"",INDEX(OHZ_HAZ_PORTOFLOADING,183,1)&lt;&gt;"",INDEX(OHZ_HAZ_PORTOFDISCHARGE,183,1)&lt;&gt;"",INDEX(OHZ_HAZ_DPGREF,183,1)&lt;&gt;"",INDEX(OHZ_HAZ_DGCLASSIFI,183,1)&lt;&gt;"",INDEX(OHZ_HAZ_TEXTUALREF,183,1)&lt;&gt;"",INDEX(OHZ_HAZ_IMOHAZARDC,183,1)&lt;&gt;"",INDEX(OHZ_HAZ_UNNUMBER,183,1)&lt;&gt;"",INDEX(OHZ_HAZ_TOTAMOUNT,183,1)&lt;&gt;"",INDEX(OHZ_HAZ_PACKINGGRO,183,1)&lt;&gt;"",INDEX(OHZ_HAZ_FLASHPOINT,183,1)&lt;&gt;"",INDEX(OHZ_HAZ_MARPOLCODE,183,1)&lt;&gt;"",INDEX(OHZ_HAZ_PACTYPE,183,1)&lt;&gt;"",INDEX(OHZ_HAZ_TOTALPACKA,183,1)&lt;&gt;"",INDEX(OHZ_HAZ_ADDITIONAL,183,1)&lt;&gt;"",INDEX(OHZ_HAZ_EMS,183,1)&lt;&gt;"",INDEX(OHZ_HAZ_SUBSIDIARY,183,1)&lt;&gt;"",INDEX(OHZ_HAZ_UNITTYPE,183,1)&lt;&gt;"",INDEX(OHZ_HAZ_TEUID,183,1)&lt;&gt;"",INDEX(OHZ_HAZ_LOCATION,183,1)&lt;&gt;"",INDEX(OHZ_HAZ_PACKAGES,183,1)&lt;&gt;"",INDEX(OHZ_HAZ_AMOUNT,183,1)&lt;&gt;"",),IF(OR(INDEX(OHZ_HAZ_DGCLASSIFI,183,1)="",INDEX(OHZ_HAZ_TEXTUALREF,183,1)="",INDEX(OHZ_HAZ_TOTAMOUNT,183,1)="",INDEX(OHZ_HAZ_DPGREF,183,1)="",INDEX(OHZ_HAZ_CONSIGNMENT,183,1)="",),FALSE,TRUE),TRUE)</f>
        <v>1</v>
      </c>
      <c r="K190" s="237" t="str">
        <f t="shared" si="6"/>
        <v>Row 183 - All mandatory fields must be given</v>
      </c>
      <c r="L190" s="236" t="s">
        <v>1853</v>
      </c>
      <c r="S190" s="52"/>
      <c r="T190" s="52" t="s">
        <v>2275</v>
      </c>
      <c r="V190" s="52"/>
    </row>
    <row r="191" spans="6:22">
      <c r="F191" s="236" t="s">
        <v>1853</v>
      </c>
      <c r="G191" s="250" t="b">
        <f>IF(OR(INDEX(IHZ_HAZ_CONSIGNMENT,184,1)&lt;&gt;"",INDEX(IHZ_HAZ_TRANSDOCID,184,1)&lt;&gt;"",INDEX(IHZ_HAZ_PORTOFLOADING,184,1)&lt;&gt;"",INDEX(IHZ_HAZ_PORTOFDISCHARGE,184,1)&lt;&gt;"",INDEX(IHZ_HAZ_DPGREF,184,1)&lt;&gt;"",INDEX(IHZ_HAZ_DGCLASSIFI,184,1)&lt;&gt;"",INDEX(IHZ_HAZ_TEXTUALREF,184,1)&lt;&gt;"",INDEX(IHZ_HAZ_IMOHAZARDC,184,1)&lt;&gt;"",INDEX(IHZ_HAZ_UNNUMBER,184,1)&lt;&gt;"",INDEX(IHZ_HAZ_TOTAMOUNT,184,1)&lt;&gt;"",INDEX(IHZ_HAZ_PACKINGGRO,184,1)&lt;&gt;"",INDEX(IHZ_HAZ_FLASHPOINT,184,1)&lt;&gt;"",INDEX(IHZ_HAZ_MARPOLCODE,184,1)&lt;&gt;"",INDEX(IHZ_HAZ_PACTYPE,184,1)&lt;&gt;"",INDEX(IHZ_HAZ_TOTALPACKA,184,1)&lt;&gt;"",INDEX(IHZ_HAZ_ADDITIONAL,184,1)&lt;&gt;"",INDEX(IHZ_HAZ_EMS,184,1)&lt;&gt;"",INDEX(IHZ_HAZ_SUBSIDIARY,184,1)&lt;&gt;"",INDEX(IHZ_HAZ_UNITTYPE,184,1)&lt;&gt;"",INDEX(IHZ_HAZ_TEUID,184,1)&lt;&gt;"",INDEX(IHZ_HAZ_LOCATION,184,1)&lt;&gt;"",INDEX(IHZ_HAZ_PACKAGES,184,1)&lt;&gt;"",INDEX(IHZ_HAZ_AMOUNT,184,1)&lt;&gt;"",),IF(OR(INDEX(IHZ_HAZ_DGCLASSIFI,184,1)="",INDEX(IHZ_HAZ_TEXTUALREF,184,1)="",INDEX(IHZ_HAZ_TOTAMOUNT,184,1)="",INDEX(IHZ_HAZ_DPGREF,184,1)="",INDEX(IHZ_HAZ_CONSIGNMENT,184,1)="",),FALSE,TRUE),TRUE)</f>
        <v>1</v>
      </c>
      <c r="H191" s="237" t="str">
        <f t="shared" si="5"/>
        <v>Row 184 - All mandatory fields must be given</v>
      </c>
      <c r="J191" s="52" t="b">
        <f>IF(OR(INDEX(OHZ_HAZ_CONSIGNMENT,184,1)&lt;&gt;"",INDEX(OHZ_HAZ_TRANSDOCID,184,1)&lt;&gt;"",INDEX(OHZ_HAZ_PORTOFLOADING,184,1)&lt;&gt;"",INDEX(OHZ_HAZ_PORTOFDISCHARGE,184,1)&lt;&gt;"",INDEX(OHZ_HAZ_DPGREF,184,1)&lt;&gt;"",INDEX(OHZ_HAZ_DGCLASSIFI,184,1)&lt;&gt;"",INDEX(OHZ_HAZ_TEXTUALREF,184,1)&lt;&gt;"",INDEX(OHZ_HAZ_IMOHAZARDC,184,1)&lt;&gt;"",INDEX(OHZ_HAZ_UNNUMBER,184,1)&lt;&gt;"",INDEX(OHZ_HAZ_TOTAMOUNT,184,1)&lt;&gt;"",INDEX(OHZ_HAZ_PACKINGGRO,184,1)&lt;&gt;"",INDEX(OHZ_HAZ_FLASHPOINT,184,1)&lt;&gt;"",INDEX(OHZ_HAZ_MARPOLCODE,184,1)&lt;&gt;"",INDEX(OHZ_HAZ_PACTYPE,184,1)&lt;&gt;"",INDEX(OHZ_HAZ_TOTALPACKA,184,1)&lt;&gt;"",INDEX(OHZ_HAZ_ADDITIONAL,184,1)&lt;&gt;"",INDEX(OHZ_HAZ_EMS,184,1)&lt;&gt;"",INDEX(OHZ_HAZ_SUBSIDIARY,184,1)&lt;&gt;"",INDEX(OHZ_HAZ_UNITTYPE,184,1)&lt;&gt;"",INDEX(OHZ_HAZ_TEUID,184,1)&lt;&gt;"",INDEX(OHZ_HAZ_LOCATION,184,1)&lt;&gt;"",INDEX(OHZ_HAZ_PACKAGES,184,1)&lt;&gt;"",INDEX(OHZ_HAZ_AMOUNT,184,1)&lt;&gt;"",),IF(OR(INDEX(OHZ_HAZ_DGCLASSIFI,184,1)="",INDEX(OHZ_HAZ_TEXTUALREF,184,1)="",INDEX(OHZ_HAZ_TOTAMOUNT,184,1)="",INDEX(OHZ_HAZ_DPGREF,184,1)="",INDEX(OHZ_HAZ_CONSIGNMENT,184,1)="",),FALSE,TRUE),TRUE)</f>
        <v>1</v>
      </c>
      <c r="K191" s="237" t="str">
        <f t="shared" si="6"/>
        <v>Row 184 - All mandatory fields must be given</v>
      </c>
      <c r="L191" s="236" t="s">
        <v>1853</v>
      </c>
      <c r="S191" s="52"/>
      <c r="T191" s="52" t="s">
        <v>2276</v>
      </c>
      <c r="V191" s="52"/>
    </row>
    <row r="192" spans="6:22">
      <c r="F192" s="236" t="s">
        <v>1853</v>
      </c>
      <c r="G192" s="250" t="b">
        <f>IF(OR(INDEX(IHZ_HAZ_CONSIGNMENT,185,1)&lt;&gt;"",INDEX(IHZ_HAZ_TRANSDOCID,185,1)&lt;&gt;"",INDEX(IHZ_HAZ_PORTOFLOADING,185,1)&lt;&gt;"",INDEX(IHZ_HAZ_PORTOFDISCHARGE,185,1)&lt;&gt;"",INDEX(IHZ_HAZ_DPGREF,185,1)&lt;&gt;"",INDEX(IHZ_HAZ_DGCLASSIFI,185,1)&lt;&gt;"",INDEX(IHZ_HAZ_TEXTUALREF,185,1)&lt;&gt;"",INDEX(IHZ_HAZ_IMOHAZARDC,185,1)&lt;&gt;"",INDEX(IHZ_HAZ_UNNUMBER,185,1)&lt;&gt;"",INDEX(IHZ_HAZ_TOTAMOUNT,185,1)&lt;&gt;"",INDEX(IHZ_HAZ_PACKINGGRO,185,1)&lt;&gt;"",INDEX(IHZ_HAZ_FLASHPOINT,185,1)&lt;&gt;"",INDEX(IHZ_HAZ_MARPOLCODE,185,1)&lt;&gt;"",INDEX(IHZ_HAZ_PACTYPE,185,1)&lt;&gt;"",INDEX(IHZ_HAZ_TOTALPACKA,185,1)&lt;&gt;"",INDEX(IHZ_HAZ_ADDITIONAL,185,1)&lt;&gt;"",INDEX(IHZ_HAZ_EMS,185,1)&lt;&gt;"",INDEX(IHZ_HAZ_SUBSIDIARY,185,1)&lt;&gt;"",INDEX(IHZ_HAZ_UNITTYPE,185,1)&lt;&gt;"",INDEX(IHZ_HAZ_TEUID,185,1)&lt;&gt;"",INDEX(IHZ_HAZ_LOCATION,185,1)&lt;&gt;"",INDEX(IHZ_HAZ_PACKAGES,185,1)&lt;&gt;"",INDEX(IHZ_HAZ_AMOUNT,185,1)&lt;&gt;"",),IF(OR(INDEX(IHZ_HAZ_DGCLASSIFI,185,1)="",INDEX(IHZ_HAZ_TEXTUALREF,185,1)="",INDEX(IHZ_HAZ_TOTAMOUNT,185,1)="",INDEX(IHZ_HAZ_DPGREF,185,1)="",INDEX(IHZ_HAZ_CONSIGNMENT,185,1)="",),FALSE,TRUE),TRUE)</f>
        <v>1</v>
      </c>
      <c r="H192" s="237" t="str">
        <f t="shared" si="5"/>
        <v>Row 185 - All mandatory fields must be given</v>
      </c>
      <c r="J192" s="52" t="b">
        <f>IF(OR(INDEX(OHZ_HAZ_CONSIGNMENT,185,1)&lt;&gt;"",INDEX(OHZ_HAZ_TRANSDOCID,185,1)&lt;&gt;"",INDEX(OHZ_HAZ_PORTOFLOADING,185,1)&lt;&gt;"",INDEX(OHZ_HAZ_PORTOFDISCHARGE,185,1)&lt;&gt;"",INDEX(OHZ_HAZ_DPGREF,185,1)&lt;&gt;"",INDEX(OHZ_HAZ_DGCLASSIFI,185,1)&lt;&gt;"",INDEX(OHZ_HAZ_TEXTUALREF,185,1)&lt;&gt;"",INDEX(OHZ_HAZ_IMOHAZARDC,185,1)&lt;&gt;"",INDEX(OHZ_HAZ_UNNUMBER,185,1)&lt;&gt;"",INDEX(OHZ_HAZ_TOTAMOUNT,185,1)&lt;&gt;"",INDEX(OHZ_HAZ_PACKINGGRO,185,1)&lt;&gt;"",INDEX(OHZ_HAZ_FLASHPOINT,185,1)&lt;&gt;"",INDEX(OHZ_HAZ_MARPOLCODE,185,1)&lt;&gt;"",INDEX(OHZ_HAZ_PACTYPE,185,1)&lt;&gt;"",INDEX(OHZ_HAZ_TOTALPACKA,185,1)&lt;&gt;"",INDEX(OHZ_HAZ_ADDITIONAL,185,1)&lt;&gt;"",INDEX(OHZ_HAZ_EMS,185,1)&lt;&gt;"",INDEX(OHZ_HAZ_SUBSIDIARY,185,1)&lt;&gt;"",INDEX(OHZ_HAZ_UNITTYPE,185,1)&lt;&gt;"",INDEX(OHZ_HAZ_TEUID,185,1)&lt;&gt;"",INDEX(OHZ_HAZ_LOCATION,185,1)&lt;&gt;"",INDEX(OHZ_HAZ_PACKAGES,185,1)&lt;&gt;"",INDEX(OHZ_HAZ_AMOUNT,185,1)&lt;&gt;"",),IF(OR(INDEX(OHZ_HAZ_DGCLASSIFI,185,1)="",INDEX(OHZ_HAZ_TEXTUALREF,185,1)="",INDEX(OHZ_HAZ_TOTAMOUNT,185,1)="",INDEX(OHZ_HAZ_DPGREF,185,1)="",INDEX(OHZ_HAZ_CONSIGNMENT,185,1)="",),FALSE,TRUE),TRUE)</f>
        <v>1</v>
      </c>
      <c r="K192" s="237" t="str">
        <f t="shared" si="6"/>
        <v>Row 185 - All mandatory fields must be given</v>
      </c>
      <c r="L192" s="236" t="s">
        <v>1853</v>
      </c>
      <c r="S192" s="52"/>
      <c r="T192" s="52" t="s">
        <v>2277</v>
      </c>
      <c r="V192" s="52"/>
    </row>
    <row r="193" spans="6:22">
      <c r="F193" s="236" t="s">
        <v>1853</v>
      </c>
      <c r="G193" s="250" t="b">
        <f>IF(OR(INDEX(IHZ_HAZ_CONSIGNMENT,186,1)&lt;&gt;"",INDEX(IHZ_HAZ_TRANSDOCID,186,1)&lt;&gt;"",INDEX(IHZ_HAZ_PORTOFLOADING,186,1)&lt;&gt;"",INDEX(IHZ_HAZ_PORTOFDISCHARGE,186,1)&lt;&gt;"",INDEX(IHZ_HAZ_DPGREF,186,1)&lt;&gt;"",INDEX(IHZ_HAZ_DGCLASSIFI,186,1)&lt;&gt;"",INDEX(IHZ_HAZ_TEXTUALREF,186,1)&lt;&gt;"",INDEX(IHZ_HAZ_IMOHAZARDC,186,1)&lt;&gt;"",INDEX(IHZ_HAZ_UNNUMBER,186,1)&lt;&gt;"",INDEX(IHZ_HAZ_TOTAMOUNT,186,1)&lt;&gt;"",INDEX(IHZ_HAZ_PACKINGGRO,186,1)&lt;&gt;"",INDEX(IHZ_HAZ_FLASHPOINT,186,1)&lt;&gt;"",INDEX(IHZ_HAZ_MARPOLCODE,186,1)&lt;&gt;"",INDEX(IHZ_HAZ_PACTYPE,186,1)&lt;&gt;"",INDEX(IHZ_HAZ_TOTALPACKA,186,1)&lt;&gt;"",INDEX(IHZ_HAZ_ADDITIONAL,186,1)&lt;&gt;"",INDEX(IHZ_HAZ_EMS,186,1)&lt;&gt;"",INDEX(IHZ_HAZ_SUBSIDIARY,186,1)&lt;&gt;"",INDEX(IHZ_HAZ_UNITTYPE,186,1)&lt;&gt;"",INDEX(IHZ_HAZ_TEUID,186,1)&lt;&gt;"",INDEX(IHZ_HAZ_LOCATION,186,1)&lt;&gt;"",INDEX(IHZ_HAZ_PACKAGES,186,1)&lt;&gt;"",INDEX(IHZ_HAZ_AMOUNT,186,1)&lt;&gt;"",),IF(OR(INDEX(IHZ_HAZ_DGCLASSIFI,186,1)="",INDEX(IHZ_HAZ_TEXTUALREF,186,1)="",INDEX(IHZ_HAZ_TOTAMOUNT,186,1)="",INDEX(IHZ_HAZ_DPGREF,186,1)="",INDEX(IHZ_HAZ_CONSIGNMENT,186,1)="",),FALSE,TRUE),TRUE)</f>
        <v>1</v>
      </c>
      <c r="H193" s="237" t="str">
        <f t="shared" si="5"/>
        <v>Row 186 - All mandatory fields must be given</v>
      </c>
      <c r="J193" s="52" t="b">
        <f>IF(OR(INDEX(OHZ_HAZ_CONSIGNMENT,186,1)&lt;&gt;"",INDEX(OHZ_HAZ_TRANSDOCID,186,1)&lt;&gt;"",INDEX(OHZ_HAZ_PORTOFLOADING,186,1)&lt;&gt;"",INDEX(OHZ_HAZ_PORTOFDISCHARGE,186,1)&lt;&gt;"",INDEX(OHZ_HAZ_DPGREF,186,1)&lt;&gt;"",INDEX(OHZ_HAZ_DGCLASSIFI,186,1)&lt;&gt;"",INDEX(OHZ_HAZ_TEXTUALREF,186,1)&lt;&gt;"",INDEX(OHZ_HAZ_IMOHAZARDC,186,1)&lt;&gt;"",INDEX(OHZ_HAZ_UNNUMBER,186,1)&lt;&gt;"",INDEX(OHZ_HAZ_TOTAMOUNT,186,1)&lt;&gt;"",INDEX(OHZ_HAZ_PACKINGGRO,186,1)&lt;&gt;"",INDEX(OHZ_HAZ_FLASHPOINT,186,1)&lt;&gt;"",INDEX(OHZ_HAZ_MARPOLCODE,186,1)&lt;&gt;"",INDEX(OHZ_HAZ_PACTYPE,186,1)&lt;&gt;"",INDEX(OHZ_HAZ_TOTALPACKA,186,1)&lt;&gt;"",INDEX(OHZ_HAZ_ADDITIONAL,186,1)&lt;&gt;"",INDEX(OHZ_HAZ_EMS,186,1)&lt;&gt;"",INDEX(OHZ_HAZ_SUBSIDIARY,186,1)&lt;&gt;"",INDEX(OHZ_HAZ_UNITTYPE,186,1)&lt;&gt;"",INDEX(OHZ_HAZ_TEUID,186,1)&lt;&gt;"",INDEX(OHZ_HAZ_LOCATION,186,1)&lt;&gt;"",INDEX(OHZ_HAZ_PACKAGES,186,1)&lt;&gt;"",INDEX(OHZ_HAZ_AMOUNT,186,1)&lt;&gt;"",),IF(OR(INDEX(OHZ_HAZ_DGCLASSIFI,186,1)="",INDEX(OHZ_HAZ_TEXTUALREF,186,1)="",INDEX(OHZ_HAZ_TOTAMOUNT,186,1)="",INDEX(OHZ_HAZ_DPGREF,186,1)="",INDEX(OHZ_HAZ_CONSIGNMENT,186,1)="",),FALSE,TRUE),TRUE)</f>
        <v>1</v>
      </c>
      <c r="K193" s="237" t="str">
        <f t="shared" si="6"/>
        <v>Row 186 - All mandatory fields must be given</v>
      </c>
      <c r="L193" s="236" t="s">
        <v>1853</v>
      </c>
      <c r="S193" s="52"/>
      <c r="T193" s="52" t="s">
        <v>2278</v>
      </c>
      <c r="V193" s="52"/>
    </row>
    <row r="194" spans="6:22">
      <c r="F194" s="236" t="s">
        <v>1853</v>
      </c>
      <c r="G194" s="250" t="b">
        <f>IF(OR(INDEX(IHZ_HAZ_CONSIGNMENT,187,1)&lt;&gt;"",INDEX(IHZ_HAZ_TRANSDOCID,187,1)&lt;&gt;"",INDEX(IHZ_HAZ_PORTOFLOADING,187,1)&lt;&gt;"",INDEX(IHZ_HAZ_PORTOFDISCHARGE,187,1)&lt;&gt;"",INDEX(IHZ_HAZ_DPGREF,187,1)&lt;&gt;"",INDEX(IHZ_HAZ_DGCLASSIFI,187,1)&lt;&gt;"",INDEX(IHZ_HAZ_TEXTUALREF,187,1)&lt;&gt;"",INDEX(IHZ_HAZ_IMOHAZARDC,187,1)&lt;&gt;"",INDEX(IHZ_HAZ_UNNUMBER,187,1)&lt;&gt;"",INDEX(IHZ_HAZ_TOTAMOUNT,187,1)&lt;&gt;"",INDEX(IHZ_HAZ_PACKINGGRO,187,1)&lt;&gt;"",INDEX(IHZ_HAZ_FLASHPOINT,187,1)&lt;&gt;"",INDEX(IHZ_HAZ_MARPOLCODE,187,1)&lt;&gt;"",INDEX(IHZ_HAZ_PACTYPE,187,1)&lt;&gt;"",INDEX(IHZ_HAZ_TOTALPACKA,187,1)&lt;&gt;"",INDEX(IHZ_HAZ_ADDITIONAL,187,1)&lt;&gt;"",INDEX(IHZ_HAZ_EMS,187,1)&lt;&gt;"",INDEX(IHZ_HAZ_SUBSIDIARY,187,1)&lt;&gt;"",INDEX(IHZ_HAZ_UNITTYPE,187,1)&lt;&gt;"",INDEX(IHZ_HAZ_TEUID,187,1)&lt;&gt;"",INDEX(IHZ_HAZ_LOCATION,187,1)&lt;&gt;"",INDEX(IHZ_HAZ_PACKAGES,187,1)&lt;&gt;"",INDEX(IHZ_HAZ_AMOUNT,187,1)&lt;&gt;"",),IF(OR(INDEX(IHZ_HAZ_DGCLASSIFI,187,1)="",INDEX(IHZ_HAZ_TEXTUALREF,187,1)="",INDEX(IHZ_HAZ_TOTAMOUNT,187,1)="",INDEX(IHZ_HAZ_DPGREF,187,1)="",INDEX(IHZ_HAZ_CONSIGNMENT,187,1)="",),FALSE,TRUE),TRUE)</f>
        <v>1</v>
      </c>
      <c r="H194" s="237" t="str">
        <f t="shared" si="5"/>
        <v>Row 187 - All mandatory fields must be given</v>
      </c>
      <c r="J194" s="52" t="b">
        <f>IF(OR(INDEX(OHZ_HAZ_CONSIGNMENT,187,1)&lt;&gt;"",INDEX(OHZ_HAZ_TRANSDOCID,187,1)&lt;&gt;"",INDEX(OHZ_HAZ_PORTOFLOADING,187,1)&lt;&gt;"",INDEX(OHZ_HAZ_PORTOFDISCHARGE,187,1)&lt;&gt;"",INDEX(OHZ_HAZ_DPGREF,187,1)&lt;&gt;"",INDEX(OHZ_HAZ_DGCLASSIFI,187,1)&lt;&gt;"",INDEX(OHZ_HAZ_TEXTUALREF,187,1)&lt;&gt;"",INDEX(OHZ_HAZ_IMOHAZARDC,187,1)&lt;&gt;"",INDEX(OHZ_HAZ_UNNUMBER,187,1)&lt;&gt;"",INDEX(OHZ_HAZ_TOTAMOUNT,187,1)&lt;&gt;"",INDEX(OHZ_HAZ_PACKINGGRO,187,1)&lt;&gt;"",INDEX(OHZ_HAZ_FLASHPOINT,187,1)&lt;&gt;"",INDEX(OHZ_HAZ_MARPOLCODE,187,1)&lt;&gt;"",INDEX(OHZ_HAZ_PACTYPE,187,1)&lt;&gt;"",INDEX(OHZ_HAZ_TOTALPACKA,187,1)&lt;&gt;"",INDEX(OHZ_HAZ_ADDITIONAL,187,1)&lt;&gt;"",INDEX(OHZ_HAZ_EMS,187,1)&lt;&gt;"",INDEX(OHZ_HAZ_SUBSIDIARY,187,1)&lt;&gt;"",INDEX(OHZ_HAZ_UNITTYPE,187,1)&lt;&gt;"",INDEX(OHZ_HAZ_TEUID,187,1)&lt;&gt;"",INDEX(OHZ_HAZ_LOCATION,187,1)&lt;&gt;"",INDEX(OHZ_HAZ_PACKAGES,187,1)&lt;&gt;"",INDEX(OHZ_HAZ_AMOUNT,187,1)&lt;&gt;"",),IF(OR(INDEX(OHZ_HAZ_DGCLASSIFI,187,1)="",INDEX(OHZ_HAZ_TEXTUALREF,187,1)="",INDEX(OHZ_HAZ_TOTAMOUNT,187,1)="",INDEX(OHZ_HAZ_DPGREF,187,1)="",INDEX(OHZ_HAZ_CONSIGNMENT,187,1)="",),FALSE,TRUE),TRUE)</f>
        <v>1</v>
      </c>
      <c r="K194" s="237" t="str">
        <f t="shared" si="6"/>
        <v>Row 187 - All mandatory fields must be given</v>
      </c>
      <c r="L194" s="236" t="s">
        <v>1853</v>
      </c>
      <c r="S194" s="52"/>
      <c r="T194" s="52" t="s">
        <v>2279</v>
      </c>
      <c r="V194" s="52"/>
    </row>
    <row r="195" spans="6:22">
      <c r="F195" s="236" t="s">
        <v>1853</v>
      </c>
      <c r="G195" s="250" t="b">
        <f>IF(OR(INDEX(IHZ_HAZ_CONSIGNMENT,188,1)&lt;&gt;"",INDEX(IHZ_HAZ_TRANSDOCID,188,1)&lt;&gt;"",INDEX(IHZ_HAZ_PORTOFLOADING,188,1)&lt;&gt;"",INDEX(IHZ_HAZ_PORTOFDISCHARGE,188,1)&lt;&gt;"",INDEX(IHZ_HAZ_DPGREF,188,1)&lt;&gt;"",INDEX(IHZ_HAZ_DGCLASSIFI,188,1)&lt;&gt;"",INDEX(IHZ_HAZ_TEXTUALREF,188,1)&lt;&gt;"",INDEX(IHZ_HAZ_IMOHAZARDC,188,1)&lt;&gt;"",INDEX(IHZ_HAZ_UNNUMBER,188,1)&lt;&gt;"",INDEX(IHZ_HAZ_TOTAMOUNT,188,1)&lt;&gt;"",INDEX(IHZ_HAZ_PACKINGGRO,188,1)&lt;&gt;"",INDEX(IHZ_HAZ_FLASHPOINT,188,1)&lt;&gt;"",INDEX(IHZ_HAZ_MARPOLCODE,188,1)&lt;&gt;"",INDEX(IHZ_HAZ_PACTYPE,188,1)&lt;&gt;"",INDEX(IHZ_HAZ_TOTALPACKA,188,1)&lt;&gt;"",INDEX(IHZ_HAZ_ADDITIONAL,188,1)&lt;&gt;"",INDEX(IHZ_HAZ_EMS,188,1)&lt;&gt;"",INDEX(IHZ_HAZ_SUBSIDIARY,188,1)&lt;&gt;"",INDEX(IHZ_HAZ_UNITTYPE,188,1)&lt;&gt;"",INDEX(IHZ_HAZ_TEUID,188,1)&lt;&gt;"",INDEX(IHZ_HAZ_LOCATION,188,1)&lt;&gt;"",INDEX(IHZ_HAZ_PACKAGES,188,1)&lt;&gt;"",INDEX(IHZ_HAZ_AMOUNT,188,1)&lt;&gt;"",),IF(OR(INDEX(IHZ_HAZ_DGCLASSIFI,188,1)="",INDEX(IHZ_HAZ_TEXTUALREF,188,1)="",INDEX(IHZ_HAZ_TOTAMOUNT,188,1)="",INDEX(IHZ_HAZ_DPGREF,188,1)="",INDEX(IHZ_HAZ_CONSIGNMENT,188,1)="",),FALSE,TRUE),TRUE)</f>
        <v>1</v>
      </c>
      <c r="H195" s="237" t="str">
        <f t="shared" si="5"/>
        <v>Row 188 - All mandatory fields must be given</v>
      </c>
      <c r="J195" s="52" t="b">
        <f>IF(OR(INDEX(OHZ_HAZ_CONSIGNMENT,188,1)&lt;&gt;"",INDEX(OHZ_HAZ_TRANSDOCID,188,1)&lt;&gt;"",INDEX(OHZ_HAZ_PORTOFLOADING,188,1)&lt;&gt;"",INDEX(OHZ_HAZ_PORTOFDISCHARGE,188,1)&lt;&gt;"",INDEX(OHZ_HAZ_DPGREF,188,1)&lt;&gt;"",INDEX(OHZ_HAZ_DGCLASSIFI,188,1)&lt;&gt;"",INDEX(OHZ_HAZ_TEXTUALREF,188,1)&lt;&gt;"",INDEX(OHZ_HAZ_IMOHAZARDC,188,1)&lt;&gt;"",INDEX(OHZ_HAZ_UNNUMBER,188,1)&lt;&gt;"",INDEX(OHZ_HAZ_TOTAMOUNT,188,1)&lt;&gt;"",INDEX(OHZ_HAZ_PACKINGGRO,188,1)&lt;&gt;"",INDEX(OHZ_HAZ_FLASHPOINT,188,1)&lt;&gt;"",INDEX(OHZ_HAZ_MARPOLCODE,188,1)&lt;&gt;"",INDEX(OHZ_HAZ_PACTYPE,188,1)&lt;&gt;"",INDEX(OHZ_HAZ_TOTALPACKA,188,1)&lt;&gt;"",INDEX(OHZ_HAZ_ADDITIONAL,188,1)&lt;&gt;"",INDEX(OHZ_HAZ_EMS,188,1)&lt;&gt;"",INDEX(OHZ_HAZ_SUBSIDIARY,188,1)&lt;&gt;"",INDEX(OHZ_HAZ_UNITTYPE,188,1)&lt;&gt;"",INDEX(OHZ_HAZ_TEUID,188,1)&lt;&gt;"",INDEX(OHZ_HAZ_LOCATION,188,1)&lt;&gt;"",INDEX(OHZ_HAZ_PACKAGES,188,1)&lt;&gt;"",INDEX(OHZ_HAZ_AMOUNT,188,1)&lt;&gt;"",),IF(OR(INDEX(OHZ_HAZ_DGCLASSIFI,188,1)="",INDEX(OHZ_HAZ_TEXTUALREF,188,1)="",INDEX(OHZ_HAZ_TOTAMOUNT,188,1)="",INDEX(OHZ_HAZ_DPGREF,188,1)="",INDEX(OHZ_HAZ_CONSIGNMENT,188,1)="",),FALSE,TRUE),TRUE)</f>
        <v>1</v>
      </c>
      <c r="K195" s="237" t="str">
        <f t="shared" si="6"/>
        <v>Row 188 - All mandatory fields must be given</v>
      </c>
      <c r="L195" s="236" t="s">
        <v>1853</v>
      </c>
      <c r="S195" s="52"/>
      <c r="T195" s="52" t="s">
        <v>2280</v>
      </c>
      <c r="V195" s="52"/>
    </row>
    <row r="196" spans="6:22">
      <c r="F196" s="236" t="s">
        <v>1853</v>
      </c>
      <c r="G196" s="250" t="b">
        <f>IF(OR(INDEX(IHZ_HAZ_CONSIGNMENT,189,1)&lt;&gt;"",INDEX(IHZ_HAZ_TRANSDOCID,189,1)&lt;&gt;"",INDEX(IHZ_HAZ_PORTOFLOADING,189,1)&lt;&gt;"",INDEX(IHZ_HAZ_PORTOFDISCHARGE,189,1)&lt;&gt;"",INDEX(IHZ_HAZ_DPGREF,189,1)&lt;&gt;"",INDEX(IHZ_HAZ_DGCLASSIFI,189,1)&lt;&gt;"",INDEX(IHZ_HAZ_TEXTUALREF,189,1)&lt;&gt;"",INDEX(IHZ_HAZ_IMOHAZARDC,189,1)&lt;&gt;"",INDEX(IHZ_HAZ_UNNUMBER,189,1)&lt;&gt;"",INDEX(IHZ_HAZ_TOTAMOUNT,189,1)&lt;&gt;"",INDEX(IHZ_HAZ_PACKINGGRO,189,1)&lt;&gt;"",INDEX(IHZ_HAZ_FLASHPOINT,189,1)&lt;&gt;"",INDEX(IHZ_HAZ_MARPOLCODE,189,1)&lt;&gt;"",INDEX(IHZ_HAZ_PACTYPE,189,1)&lt;&gt;"",INDEX(IHZ_HAZ_TOTALPACKA,189,1)&lt;&gt;"",INDEX(IHZ_HAZ_ADDITIONAL,189,1)&lt;&gt;"",INDEX(IHZ_HAZ_EMS,189,1)&lt;&gt;"",INDEX(IHZ_HAZ_SUBSIDIARY,189,1)&lt;&gt;"",INDEX(IHZ_HAZ_UNITTYPE,189,1)&lt;&gt;"",INDEX(IHZ_HAZ_TEUID,189,1)&lt;&gt;"",INDEX(IHZ_HAZ_LOCATION,189,1)&lt;&gt;"",INDEX(IHZ_HAZ_PACKAGES,189,1)&lt;&gt;"",INDEX(IHZ_HAZ_AMOUNT,189,1)&lt;&gt;"",),IF(OR(INDEX(IHZ_HAZ_DGCLASSIFI,189,1)="",INDEX(IHZ_HAZ_TEXTUALREF,189,1)="",INDEX(IHZ_HAZ_TOTAMOUNT,189,1)="",INDEX(IHZ_HAZ_DPGREF,189,1)="",INDEX(IHZ_HAZ_CONSIGNMENT,189,1)="",),FALSE,TRUE),TRUE)</f>
        <v>1</v>
      </c>
      <c r="H196" s="237" t="str">
        <f t="shared" si="5"/>
        <v>Row 189 - All mandatory fields must be given</v>
      </c>
      <c r="J196" s="52" t="b">
        <f>IF(OR(INDEX(OHZ_HAZ_CONSIGNMENT,189,1)&lt;&gt;"",INDEX(OHZ_HAZ_TRANSDOCID,189,1)&lt;&gt;"",INDEX(OHZ_HAZ_PORTOFLOADING,189,1)&lt;&gt;"",INDEX(OHZ_HAZ_PORTOFDISCHARGE,189,1)&lt;&gt;"",INDEX(OHZ_HAZ_DPGREF,189,1)&lt;&gt;"",INDEX(OHZ_HAZ_DGCLASSIFI,189,1)&lt;&gt;"",INDEX(OHZ_HAZ_TEXTUALREF,189,1)&lt;&gt;"",INDEX(OHZ_HAZ_IMOHAZARDC,189,1)&lt;&gt;"",INDEX(OHZ_HAZ_UNNUMBER,189,1)&lt;&gt;"",INDEX(OHZ_HAZ_TOTAMOUNT,189,1)&lt;&gt;"",INDEX(OHZ_HAZ_PACKINGGRO,189,1)&lt;&gt;"",INDEX(OHZ_HAZ_FLASHPOINT,189,1)&lt;&gt;"",INDEX(OHZ_HAZ_MARPOLCODE,189,1)&lt;&gt;"",INDEX(OHZ_HAZ_PACTYPE,189,1)&lt;&gt;"",INDEX(OHZ_HAZ_TOTALPACKA,189,1)&lt;&gt;"",INDEX(OHZ_HAZ_ADDITIONAL,189,1)&lt;&gt;"",INDEX(OHZ_HAZ_EMS,189,1)&lt;&gt;"",INDEX(OHZ_HAZ_SUBSIDIARY,189,1)&lt;&gt;"",INDEX(OHZ_HAZ_UNITTYPE,189,1)&lt;&gt;"",INDEX(OHZ_HAZ_TEUID,189,1)&lt;&gt;"",INDEX(OHZ_HAZ_LOCATION,189,1)&lt;&gt;"",INDEX(OHZ_HAZ_PACKAGES,189,1)&lt;&gt;"",INDEX(OHZ_HAZ_AMOUNT,189,1)&lt;&gt;"",),IF(OR(INDEX(OHZ_HAZ_DGCLASSIFI,189,1)="",INDEX(OHZ_HAZ_TEXTUALREF,189,1)="",INDEX(OHZ_HAZ_TOTAMOUNT,189,1)="",INDEX(OHZ_HAZ_DPGREF,189,1)="",INDEX(OHZ_HAZ_CONSIGNMENT,189,1)="",),FALSE,TRUE),TRUE)</f>
        <v>1</v>
      </c>
      <c r="K196" s="237" t="str">
        <f t="shared" si="6"/>
        <v>Row 189 - All mandatory fields must be given</v>
      </c>
      <c r="L196" s="236" t="s">
        <v>1853</v>
      </c>
      <c r="S196" s="52"/>
      <c r="T196" s="52" t="s">
        <v>2281</v>
      </c>
      <c r="V196" s="52"/>
    </row>
    <row r="197" spans="6:22">
      <c r="F197" s="236" t="s">
        <v>1853</v>
      </c>
      <c r="G197" s="250" t="b">
        <f>IF(OR(INDEX(IHZ_HAZ_CONSIGNMENT,190,1)&lt;&gt;"",INDEX(IHZ_HAZ_TRANSDOCID,190,1)&lt;&gt;"",INDEX(IHZ_HAZ_PORTOFLOADING,190,1)&lt;&gt;"",INDEX(IHZ_HAZ_PORTOFDISCHARGE,190,1)&lt;&gt;"",INDEX(IHZ_HAZ_DPGREF,190,1)&lt;&gt;"",INDEX(IHZ_HAZ_DGCLASSIFI,190,1)&lt;&gt;"",INDEX(IHZ_HAZ_TEXTUALREF,190,1)&lt;&gt;"",INDEX(IHZ_HAZ_IMOHAZARDC,190,1)&lt;&gt;"",INDEX(IHZ_HAZ_UNNUMBER,190,1)&lt;&gt;"",INDEX(IHZ_HAZ_TOTAMOUNT,190,1)&lt;&gt;"",INDEX(IHZ_HAZ_PACKINGGRO,190,1)&lt;&gt;"",INDEX(IHZ_HAZ_FLASHPOINT,190,1)&lt;&gt;"",INDEX(IHZ_HAZ_MARPOLCODE,190,1)&lt;&gt;"",INDEX(IHZ_HAZ_PACTYPE,190,1)&lt;&gt;"",INDEX(IHZ_HAZ_TOTALPACKA,190,1)&lt;&gt;"",INDEX(IHZ_HAZ_ADDITIONAL,190,1)&lt;&gt;"",INDEX(IHZ_HAZ_EMS,190,1)&lt;&gt;"",INDEX(IHZ_HAZ_SUBSIDIARY,190,1)&lt;&gt;"",INDEX(IHZ_HAZ_UNITTYPE,190,1)&lt;&gt;"",INDEX(IHZ_HAZ_TEUID,190,1)&lt;&gt;"",INDEX(IHZ_HAZ_LOCATION,190,1)&lt;&gt;"",INDEX(IHZ_HAZ_PACKAGES,190,1)&lt;&gt;"",INDEX(IHZ_HAZ_AMOUNT,190,1)&lt;&gt;"",),IF(OR(INDEX(IHZ_HAZ_DGCLASSIFI,190,1)="",INDEX(IHZ_HAZ_TEXTUALREF,190,1)="",INDEX(IHZ_HAZ_TOTAMOUNT,190,1)="",INDEX(IHZ_HAZ_DPGREF,190,1)="",INDEX(IHZ_HAZ_CONSIGNMENT,190,1)="",),FALSE,TRUE),TRUE)</f>
        <v>1</v>
      </c>
      <c r="H197" s="237" t="str">
        <f t="shared" si="5"/>
        <v>Row 190 - All mandatory fields must be given</v>
      </c>
      <c r="J197" s="52" t="b">
        <f>IF(OR(INDEX(OHZ_HAZ_CONSIGNMENT,190,1)&lt;&gt;"",INDEX(OHZ_HAZ_TRANSDOCID,190,1)&lt;&gt;"",INDEX(OHZ_HAZ_PORTOFLOADING,190,1)&lt;&gt;"",INDEX(OHZ_HAZ_PORTOFDISCHARGE,190,1)&lt;&gt;"",INDEX(OHZ_HAZ_DPGREF,190,1)&lt;&gt;"",INDEX(OHZ_HAZ_DGCLASSIFI,190,1)&lt;&gt;"",INDEX(OHZ_HAZ_TEXTUALREF,190,1)&lt;&gt;"",INDEX(OHZ_HAZ_IMOHAZARDC,190,1)&lt;&gt;"",INDEX(OHZ_HAZ_UNNUMBER,190,1)&lt;&gt;"",INDEX(OHZ_HAZ_TOTAMOUNT,190,1)&lt;&gt;"",INDEX(OHZ_HAZ_PACKINGGRO,190,1)&lt;&gt;"",INDEX(OHZ_HAZ_FLASHPOINT,190,1)&lt;&gt;"",INDEX(OHZ_HAZ_MARPOLCODE,190,1)&lt;&gt;"",INDEX(OHZ_HAZ_PACTYPE,190,1)&lt;&gt;"",INDEX(OHZ_HAZ_TOTALPACKA,190,1)&lt;&gt;"",INDEX(OHZ_HAZ_ADDITIONAL,190,1)&lt;&gt;"",INDEX(OHZ_HAZ_EMS,190,1)&lt;&gt;"",INDEX(OHZ_HAZ_SUBSIDIARY,190,1)&lt;&gt;"",INDEX(OHZ_HAZ_UNITTYPE,190,1)&lt;&gt;"",INDEX(OHZ_HAZ_TEUID,190,1)&lt;&gt;"",INDEX(OHZ_HAZ_LOCATION,190,1)&lt;&gt;"",INDEX(OHZ_HAZ_PACKAGES,190,1)&lt;&gt;"",INDEX(OHZ_HAZ_AMOUNT,190,1)&lt;&gt;"",),IF(OR(INDEX(OHZ_HAZ_DGCLASSIFI,190,1)="",INDEX(OHZ_HAZ_TEXTUALREF,190,1)="",INDEX(OHZ_HAZ_TOTAMOUNT,190,1)="",INDEX(OHZ_HAZ_DPGREF,190,1)="",INDEX(OHZ_HAZ_CONSIGNMENT,190,1)="",),FALSE,TRUE),TRUE)</f>
        <v>1</v>
      </c>
      <c r="K197" s="237" t="str">
        <f t="shared" si="6"/>
        <v>Row 190 - All mandatory fields must be given</v>
      </c>
      <c r="L197" s="236" t="s">
        <v>1853</v>
      </c>
      <c r="S197" s="52"/>
      <c r="T197" s="52" t="s">
        <v>2282</v>
      </c>
      <c r="V197" s="52"/>
    </row>
    <row r="198" spans="6:22">
      <c r="F198" s="236" t="s">
        <v>1853</v>
      </c>
      <c r="G198" s="250" t="b">
        <f>IF(OR(INDEX(IHZ_HAZ_CONSIGNMENT,191,1)&lt;&gt;"",INDEX(IHZ_HAZ_TRANSDOCID,191,1)&lt;&gt;"",INDEX(IHZ_HAZ_PORTOFLOADING,191,1)&lt;&gt;"",INDEX(IHZ_HAZ_PORTOFDISCHARGE,191,1)&lt;&gt;"",INDEX(IHZ_HAZ_DPGREF,191,1)&lt;&gt;"",INDEX(IHZ_HAZ_DGCLASSIFI,191,1)&lt;&gt;"",INDEX(IHZ_HAZ_TEXTUALREF,191,1)&lt;&gt;"",INDEX(IHZ_HAZ_IMOHAZARDC,191,1)&lt;&gt;"",INDEX(IHZ_HAZ_UNNUMBER,191,1)&lt;&gt;"",INDEX(IHZ_HAZ_TOTAMOUNT,191,1)&lt;&gt;"",INDEX(IHZ_HAZ_PACKINGGRO,191,1)&lt;&gt;"",INDEX(IHZ_HAZ_FLASHPOINT,191,1)&lt;&gt;"",INDEX(IHZ_HAZ_MARPOLCODE,191,1)&lt;&gt;"",INDEX(IHZ_HAZ_PACTYPE,191,1)&lt;&gt;"",INDEX(IHZ_HAZ_TOTALPACKA,191,1)&lt;&gt;"",INDEX(IHZ_HAZ_ADDITIONAL,191,1)&lt;&gt;"",INDEX(IHZ_HAZ_EMS,191,1)&lt;&gt;"",INDEX(IHZ_HAZ_SUBSIDIARY,191,1)&lt;&gt;"",INDEX(IHZ_HAZ_UNITTYPE,191,1)&lt;&gt;"",INDEX(IHZ_HAZ_TEUID,191,1)&lt;&gt;"",INDEX(IHZ_HAZ_LOCATION,191,1)&lt;&gt;"",INDEX(IHZ_HAZ_PACKAGES,191,1)&lt;&gt;"",INDEX(IHZ_HAZ_AMOUNT,191,1)&lt;&gt;"",),IF(OR(INDEX(IHZ_HAZ_DGCLASSIFI,191,1)="",INDEX(IHZ_HAZ_TEXTUALREF,191,1)="",INDEX(IHZ_HAZ_TOTAMOUNT,191,1)="",INDEX(IHZ_HAZ_DPGREF,191,1)="",INDEX(IHZ_HAZ_CONSIGNMENT,191,1)="",),FALSE,TRUE),TRUE)</f>
        <v>1</v>
      </c>
      <c r="H198" s="237" t="str">
        <f t="shared" si="5"/>
        <v>Row 191 - All mandatory fields must be given</v>
      </c>
      <c r="J198" s="52" t="b">
        <f>IF(OR(INDEX(OHZ_HAZ_CONSIGNMENT,191,1)&lt;&gt;"",INDEX(OHZ_HAZ_TRANSDOCID,191,1)&lt;&gt;"",INDEX(OHZ_HAZ_PORTOFLOADING,191,1)&lt;&gt;"",INDEX(OHZ_HAZ_PORTOFDISCHARGE,191,1)&lt;&gt;"",INDEX(OHZ_HAZ_DPGREF,191,1)&lt;&gt;"",INDEX(OHZ_HAZ_DGCLASSIFI,191,1)&lt;&gt;"",INDEX(OHZ_HAZ_TEXTUALREF,191,1)&lt;&gt;"",INDEX(OHZ_HAZ_IMOHAZARDC,191,1)&lt;&gt;"",INDEX(OHZ_HAZ_UNNUMBER,191,1)&lt;&gt;"",INDEX(OHZ_HAZ_TOTAMOUNT,191,1)&lt;&gt;"",INDEX(OHZ_HAZ_PACKINGGRO,191,1)&lt;&gt;"",INDEX(OHZ_HAZ_FLASHPOINT,191,1)&lt;&gt;"",INDEX(OHZ_HAZ_MARPOLCODE,191,1)&lt;&gt;"",INDEX(OHZ_HAZ_PACTYPE,191,1)&lt;&gt;"",INDEX(OHZ_HAZ_TOTALPACKA,191,1)&lt;&gt;"",INDEX(OHZ_HAZ_ADDITIONAL,191,1)&lt;&gt;"",INDEX(OHZ_HAZ_EMS,191,1)&lt;&gt;"",INDEX(OHZ_HAZ_SUBSIDIARY,191,1)&lt;&gt;"",INDEX(OHZ_HAZ_UNITTYPE,191,1)&lt;&gt;"",INDEX(OHZ_HAZ_TEUID,191,1)&lt;&gt;"",INDEX(OHZ_HAZ_LOCATION,191,1)&lt;&gt;"",INDEX(OHZ_HAZ_PACKAGES,191,1)&lt;&gt;"",INDEX(OHZ_HAZ_AMOUNT,191,1)&lt;&gt;"",),IF(OR(INDEX(OHZ_HAZ_DGCLASSIFI,191,1)="",INDEX(OHZ_HAZ_TEXTUALREF,191,1)="",INDEX(OHZ_HAZ_TOTAMOUNT,191,1)="",INDEX(OHZ_HAZ_DPGREF,191,1)="",INDEX(OHZ_HAZ_CONSIGNMENT,191,1)="",),FALSE,TRUE),TRUE)</f>
        <v>1</v>
      </c>
      <c r="K198" s="237" t="str">
        <f t="shared" si="6"/>
        <v>Row 191 - All mandatory fields must be given</v>
      </c>
      <c r="L198" s="236" t="s">
        <v>1853</v>
      </c>
      <c r="S198" s="52"/>
      <c r="T198" s="52" t="s">
        <v>2283</v>
      </c>
      <c r="V198" s="52"/>
    </row>
    <row r="199" spans="6:22">
      <c r="F199" s="236" t="s">
        <v>1853</v>
      </c>
      <c r="G199" s="250" t="b">
        <f>IF(OR(INDEX(IHZ_HAZ_CONSIGNMENT,192,1)&lt;&gt;"",INDEX(IHZ_HAZ_TRANSDOCID,192,1)&lt;&gt;"",INDEX(IHZ_HAZ_PORTOFLOADING,192,1)&lt;&gt;"",INDEX(IHZ_HAZ_PORTOFDISCHARGE,192,1)&lt;&gt;"",INDEX(IHZ_HAZ_DPGREF,192,1)&lt;&gt;"",INDEX(IHZ_HAZ_DGCLASSIFI,192,1)&lt;&gt;"",INDEX(IHZ_HAZ_TEXTUALREF,192,1)&lt;&gt;"",INDEX(IHZ_HAZ_IMOHAZARDC,192,1)&lt;&gt;"",INDEX(IHZ_HAZ_UNNUMBER,192,1)&lt;&gt;"",INDEX(IHZ_HAZ_TOTAMOUNT,192,1)&lt;&gt;"",INDEX(IHZ_HAZ_PACKINGGRO,192,1)&lt;&gt;"",INDEX(IHZ_HAZ_FLASHPOINT,192,1)&lt;&gt;"",INDEX(IHZ_HAZ_MARPOLCODE,192,1)&lt;&gt;"",INDEX(IHZ_HAZ_PACTYPE,192,1)&lt;&gt;"",INDEX(IHZ_HAZ_TOTALPACKA,192,1)&lt;&gt;"",INDEX(IHZ_HAZ_ADDITIONAL,192,1)&lt;&gt;"",INDEX(IHZ_HAZ_EMS,192,1)&lt;&gt;"",INDEX(IHZ_HAZ_SUBSIDIARY,192,1)&lt;&gt;"",INDEX(IHZ_HAZ_UNITTYPE,192,1)&lt;&gt;"",INDEX(IHZ_HAZ_TEUID,192,1)&lt;&gt;"",INDEX(IHZ_HAZ_LOCATION,192,1)&lt;&gt;"",INDEX(IHZ_HAZ_PACKAGES,192,1)&lt;&gt;"",INDEX(IHZ_HAZ_AMOUNT,192,1)&lt;&gt;"",),IF(OR(INDEX(IHZ_HAZ_DGCLASSIFI,192,1)="",INDEX(IHZ_HAZ_TEXTUALREF,192,1)="",INDEX(IHZ_HAZ_TOTAMOUNT,192,1)="",INDEX(IHZ_HAZ_DPGREF,192,1)="",INDEX(IHZ_HAZ_CONSIGNMENT,192,1)="",),FALSE,TRUE),TRUE)</f>
        <v>1</v>
      </c>
      <c r="H199" s="237" t="str">
        <f t="shared" si="5"/>
        <v>Row 192 - All mandatory fields must be given</v>
      </c>
      <c r="J199" s="52" t="b">
        <f>IF(OR(INDEX(OHZ_HAZ_CONSIGNMENT,192,1)&lt;&gt;"",INDEX(OHZ_HAZ_TRANSDOCID,192,1)&lt;&gt;"",INDEX(OHZ_HAZ_PORTOFLOADING,192,1)&lt;&gt;"",INDEX(OHZ_HAZ_PORTOFDISCHARGE,192,1)&lt;&gt;"",INDEX(OHZ_HAZ_DPGREF,192,1)&lt;&gt;"",INDEX(OHZ_HAZ_DGCLASSIFI,192,1)&lt;&gt;"",INDEX(OHZ_HAZ_TEXTUALREF,192,1)&lt;&gt;"",INDEX(OHZ_HAZ_IMOHAZARDC,192,1)&lt;&gt;"",INDEX(OHZ_HAZ_UNNUMBER,192,1)&lt;&gt;"",INDEX(OHZ_HAZ_TOTAMOUNT,192,1)&lt;&gt;"",INDEX(OHZ_HAZ_PACKINGGRO,192,1)&lt;&gt;"",INDEX(OHZ_HAZ_FLASHPOINT,192,1)&lt;&gt;"",INDEX(OHZ_HAZ_MARPOLCODE,192,1)&lt;&gt;"",INDEX(OHZ_HAZ_PACTYPE,192,1)&lt;&gt;"",INDEX(OHZ_HAZ_TOTALPACKA,192,1)&lt;&gt;"",INDEX(OHZ_HAZ_ADDITIONAL,192,1)&lt;&gt;"",INDEX(OHZ_HAZ_EMS,192,1)&lt;&gt;"",INDEX(OHZ_HAZ_SUBSIDIARY,192,1)&lt;&gt;"",INDEX(OHZ_HAZ_UNITTYPE,192,1)&lt;&gt;"",INDEX(OHZ_HAZ_TEUID,192,1)&lt;&gt;"",INDEX(OHZ_HAZ_LOCATION,192,1)&lt;&gt;"",INDEX(OHZ_HAZ_PACKAGES,192,1)&lt;&gt;"",INDEX(OHZ_HAZ_AMOUNT,192,1)&lt;&gt;"",),IF(OR(INDEX(OHZ_HAZ_DGCLASSIFI,192,1)="",INDEX(OHZ_HAZ_TEXTUALREF,192,1)="",INDEX(OHZ_HAZ_TOTAMOUNT,192,1)="",INDEX(OHZ_HAZ_DPGREF,192,1)="",INDEX(OHZ_HAZ_CONSIGNMENT,192,1)="",),FALSE,TRUE),TRUE)</f>
        <v>1</v>
      </c>
      <c r="K199" s="237" t="str">
        <f t="shared" si="6"/>
        <v>Row 192 - All mandatory fields must be given</v>
      </c>
      <c r="L199" s="236" t="s">
        <v>1853</v>
      </c>
      <c r="S199" s="52"/>
      <c r="T199" s="52" t="s">
        <v>2284</v>
      </c>
      <c r="V199" s="52"/>
    </row>
    <row r="200" spans="6:22">
      <c r="F200" s="236" t="s">
        <v>1853</v>
      </c>
      <c r="G200" s="250" t="b">
        <f>IF(OR(INDEX(IHZ_HAZ_CONSIGNMENT,193,1)&lt;&gt;"",INDEX(IHZ_HAZ_TRANSDOCID,193,1)&lt;&gt;"",INDEX(IHZ_HAZ_PORTOFLOADING,193,1)&lt;&gt;"",INDEX(IHZ_HAZ_PORTOFDISCHARGE,193,1)&lt;&gt;"",INDEX(IHZ_HAZ_DPGREF,193,1)&lt;&gt;"",INDEX(IHZ_HAZ_DGCLASSIFI,193,1)&lt;&gt;"",INDEX(IHZ_HAZ_TEXTUALREF,193,1)&lt;&gt;"",INDEX(IHZ_HAZ_IMOHAZARDC,193,1)&lt;&gt;"",INDEX(IHZ_HAZ_UNNUMBER,193,1)&lt;&gt;"",INDEX(IHZ_HAZ_TOTAMOUNT,193,1)&lt;&gt;"",INDEX(IHZ_HAZ_PACKINGGRO,193,1)&lt;&gt;"",INDEX(IHZ_HAZ_FLASHPOINT,193,1)&lt;&gt;"",INDEX(IHZ_HAZ_MARPOLCODE,193,1)&lt;&gt;"",INDEX(IHZ_HAZ_PACTYPE,193,1)&lt;&gt;"",INDEX(IHZ_HAZ_TOTALPACKA,193,1)&lt;&gt;"",INDEX(IHZ_HAZ_ADDITIONAL,193,1)&lt;&gt;"",INDEX(IHZ_HAZ_EMS,193,1)&lt;&gt;"",INDEX(IHZ_HAZ_SUBSIDIARY,193,1)&lt;&gt;"",INDEX(IHZ_HAZ_UNITTYPE,193,1)&lt;&gt;"",INDEX(IHZ_HAZ_TEUID,193,1)&lt;&gt;"",INDEX(IHZ_HAZ_LOCATION,193,1)&lt;&gt;"",INDEX(IHZ_HAZ_PACKAGES,193,1)&lt;&gt;"",INDEX(IHZ_HAZ_AMOUNT,193,1)&lt;&gt;"",),IF(OR(INDEX(IHZ_HAZ_DGCLASSIFI,193,1)="",INDEX(IHZ_HAZ_TEXTUALREF,193,1)="",INDEX(IHZ_HAZ_TOTAMOUNT,193,1)="",INDEX(IHZ_HAZ_DPGREF,193,1)="",INDEX(IHZ_HAZ_CONSIGNMENT,193,1)="",),FALSE,TRUE),TRUE)</f>
        <v>1</v>
      </c>
      <c r="H200" s="237" t="str">
        <f t="shared" si="5"/>
        <v>Row 193 - All mandatory fields must be given</v>
      </c>
      <c r="J200" s="52" t="b">
        <f>IF(OR(INDEX(OHZ_HAZ_CONSIGNMENT,193,1)&lt;&gt;"",INDEX(OHZ_HAZ_TRANSDOCID,193,1)&lt;&gt;"",INDEX(OHZ_HAZ_PORTOFLOADING,193,1)&lt;&gt;"",INDEX(OHZ_HAZ_PORTOFDISCHARGE,193,1)&lt;&gt;"",INDEX(OHZ_HAZ_DPGREF,193,1)&lt;&gt;"",INDEX(OHZ_HAZ_DGCLASSIFI,193,1)&lt;&gt;"",INDEX(OHZ_HAZ_TEXTUALREF,193,1)&lt;&gt;"",INDEX(OHZ_HAZ_IMOHAZARDC,193,1)&lt;&gt;"",INDEX(OHZ_HAZ_UNNUMBER,193,1)&lt;&gt;"",INDEX(OHZ_HAZ_TOTAMOUNT,193,1)&lt;&gt;"",INDEX(OHZ_HAZ_PACKINGGRO,193,1)&lt;&gt;"",INDEX(OHZ_HAZ_FLASHPOINT,193,1)&lt;&gt;"",INDEX(OHZ_HAZ_MARPOLCODE,193,1)&lt;&gt;"",INDEX(OHZ_HAZ_PACTYPE,193,1)&lt;&gt;"",INDEX(OHZ_HAZ_TOTALPACKA,193,1)&lt;&gt;"",INDEX(OHZ_HAZ_ADDITIONAL,193,1)&lt;&gt;"",INDEX(OHZ_HAZ_EMS,193,1)&lt;&gt;"",INDEX(OHZ_HAZ_SUBSIDIARY,193,1)&lt;&gt;"",INDEX(OHZ_HAZ_UNITTYPE,193,1)&lt;&gt;"",INDEX(OHZ_HAZ_TEUID,193,1)&lt;&gt;"",INDEX(OHZ_HAZ_LOCATION,193,1)&lt;&gt;"",INDEX(OHZ_HAZ_PACKAGES,193,1)&lt;&gt;"",INDEX(OHZ_HAZ_AMOUNT,193,1)&lt;&gt;"",),IF(OR(INDEX(OHZ_HAZ_DGCLASSIFI,193,1)="",INDEX(OHZ_HAZ_TEXTUALREF,193,1)="",INDEX(OHZ_HAZ_TOTAMOUNT,193,1)="",INDEX(OHZ_HAZ_DPGREF,193,1)="",INDEX(OHZ_HAZ_CONSIGNMENT,193,1)="",),FALSE,TRUE),TRUE)</f>
        <v>1</v>
      </c>
      <c r="K200" s="237" t="str">
        <f t="shared" si="6"/>
        <v>Row 193 - All mandatory fields must be given</v>
      </c>
      <c r="L200" s="236" t="s">
        <v>1853</v>
      </c>
      <c r="S200" s="52"/>
      <c r="T200" s="52" t="s">
        <v>2285</v>
      </c>
      <c r="V200" s="52"/>
    </row>
    <row r="201" spans="6:22">
      <c r="F201" s="236" t="s">
        <v>1853</v>
      </c>
      <c r="G201" s="250" t="b">
        <f>IF(OR(INDEX(IHZ_HAZ_CONSIGNMENT,194,1)&lt;&gt;"",INDEX(IHZ_HAZ_TRANSDOCID,194,1)&lt;&gt;"",INDEX(IHZ_HAZ_PORTOFLOADING,194,1)&lt;&gt;"",INDEX(IHZ_HAZ_PORTOFDISCHARGE,194,1)&lt;&gt;"",INDEX(IHZ_HAZ_DPGREF,194,1)&lt;&gt;"",INDEX(IHZ_HAZ_DGCLASSIFI,194,1)&lt;&gt;"",INDEX(IHZ_HAZ_TEXTUALREF,194,1)&lt;&gt;"",INDEX(IHZ_HAZ_IMOHAZARDC,194,1)&lt;&gt;"",INDEX(IHZ_HAZ_UNNUMBER,194,1)&lt;&gt;"",INDEX(IHZ_HAZ_TOTAMOUNT,194,1)&lt;&gt;"",INDEX(IHZ_HAZ_PACKINGGRO,194,1)&lt;&gt;"",INDEX(IHZ_HAZ_FLASHPOINT,194,1)&lt;&gt;"",INDEX(IHZ_HAZ_MARPOLCODE,194,1)&lt;&gt;"",INDEX(IHZ_HAZ_PACTYPE,194,1)&lt;&gt;"",INDEX(IHZ_HAZ_TOTALPACKA,194,1)&lt;&gt;"",INDEX(IHZ_HAZ_ADDITIONAL,194,1)&lt;&gt;"",INDEX(IHZ_HAZ_EMS,194,1)&lt;&gt;"",INDEX(IHZ_HAZ_SUBSIDIARY,194,1)&lt;&gt;"",INDEX(IHZ_HAZ_UNITTYPE,194,1)&lt;&gt;"",INDEX(IHZ_HAZ_TEUID,194,1)&lt;&gt;"",INDEX(IHZ_HAZ_LOCATION,194,1)&lt;&gt;"",INDEX(IHZ_HAZ_PACKAGES,194,1)&lt;&gt;"",INDEX(IHZ_HAZ_AMOUNT,194,1)&lt;&gt;"",),IF(OR(INDEX(IHZ_HAZ_DGCLASSIFI,194,1)="",INDEX(IHZ_HAZ_TEXTUALREF,194,1)="",INDEX(IHZ_HAZ_TOTAMOUNT,194,1)="",INDEX(IHZ_HAZ_DPGREF,194,1)="",INDEX(IHZ_HAZ_CONSIGNMENT,194,1)="",),FALSE,TRUE),TRUE)</f>
        <v>1</v>
      </c>
      <c r="H201" s="237" t="str">
        <f t="shared" ref="H201:H257" si="7">T194&amp;$V$1</f>
        <v>Row 194 - All mandatory fields must be given</v>
      </c>
      <c r="J201" s="52" t="b">
        <f>IF(OR(INDEX(OHZ_HAZ_CONSIGNMENT,194,1)&lt;&gt;"",INDEX(OHZ_HAZ_TRANSDOCID,194,1)&lt;&gt;"",INDEX(OHZ_HAZ_PORTOFLOADING,194,1)&lt;&gt;"",INDEX(OHZ_HAZ_PORTOFDISCHARGE,194,1)&lt;&gt;"",INDEX(OHZ_HAZ_DPGREF,194,1)&lt;&gt;"",INDEX(OHZ_HAZ_DGCLASSIFI,194,1)&lt;&gt;"",INDEX(OHZ_HAZ_TEXTUALREF,194,1)&lt;&gt;"",INDEX(OHZ_HAZ_IMOHAZARDC,194,1)&lt;&gt;"",INDEX(OHZ_HAZ_UNNUMBER,194,1)&lt;&gt;"",INDEX(OHZ_HAZ_TOTAMOUNT,194,1)&lt;&gt;"",INDEX(OHZ_HAZ_PACKINGGRO,194,1)&lt;&gt;"",INDEX(OHZ_HAZ_FLASHPOINT,194,1)&lt;&gt;"",INDEX(OHZ_HAZ_MARPOLCODE,194,1)&lt;&gt;"",INDEX(OHZ_HAZ_PACTYPE,194,1)&lt;&gt;"",INDEX(OHZ_HAZ_TOTALPACKA,194,1)&lt;&gt;"",INDEX(OHZ_HAZ_ADDITIONAL,194,1)&lt;&gt;"",INDEX(OHZ_HAZ_EMS,194,1)&lt;&gt;"",INDEX(OHZ_HAZ_SUBSIDIARY,194,1)&lt;&gt;"",INDEX(OHZ_HAZ_UNITTYPE,194,1)&lt;&gt;"",INDEX(OHZ_HAZ_TEUID,194,1)&lt;&gt;"",INDEX(OHZ_HAZ_LOCATION,194,1)&lt;&gt;"",INDEX(OHZ_HAZ_PACKAGES,194,1)&lt;&gt;"",INDEX(OHZ_HAZ_AMOUNT,194,1)&lt;&gt;"",),IF(OR(INDEX(OHZ_HAZ_DGCLASSIFI,194,1)="",INDEX(OHZ_HAZ_TEXTUALREF,194,1)="",INDEX(OHZ_HAZ_TOTAMOUNT,194,1)="",INDEX(OHZ_HAZ_DPGREF,194,1)="",INDEX(OHZ_HAZ_CONSIGNMENT,194,1)="",),FALSE,TRUE),TRUE)</f>
        <v>1</v>
      </c>
      <c r="K201" s="237" t="str">
        <f t="shared" ref="K201:K257" si="8">T194&amp;$V$1</f>
        <v>Row 194 - All mandatory fields must be given</v>
      </c>
      <c r="L201" s="236" t="s">
        <v>1853</v>
      </c>
      <c r="S201" s="52"/>
      <c r="T201" s="52" t="s">
        <v>2286</v>
      </c>
      <c r="V201" s="52"/>
    </row>
    <row r="202" spans="6:22">
      <c r="F202" s="236" t="s">
        <v>1853</v>
      </c>
      <c r="G202" s="250" t="b">
        <f>IF(OR(INDEX(IHZ_HAZ_CONSIGNMENT,195,1)&lt;&gt;"",INDEX(IHZ_HAZ_TRANSDOCID,195,1)&lt;&gt;"",INDEX(IHZ_HAZ_PORTOFLOADING,195,1)&lt;&gt;"",INDEX(IHZ_HAZ_PORTOFDISCHARGE,195,1)&lt;&gt;"",INDEX(IHZ_HAZ_DPGREF,195,1)&lt;&gt;"",INDEX(IHZ_HAZ_DGCLASSIFI,195,1)&lt;&gt;"",INDEX(IHZ_HAZ_TEXTUALREF,195,1)&lt;&gt;"",INDEX(IHZ_HAZ_IMOHAZARDC,195,1)&lt;&gt;"",INDEX(IHZ_HAZ_UNNUMBER,195,1)&lt;&gt;"",INDEX(IHZ_HAZ_TOTAMOUNT,195,1)&lt;&gt;"",INDEX(IHZ_HAZ_PACKINGGRO,195,1)&lt;&gt;"",INDEX(IHZ_HAZ_FLASHPOINT,195,1)&lt;&gt;"",INDEX(IHZ_HAZ_MARPOLCODE,195,1)&lt;&gt;"",INDEX(IHZ_HAZ_PACTYPE,195,1)&lt;&gt;"",INDEX(IHZ_HAZ_TOTALPACKA,195,1)&lt;&gt;"",INDEX(IHZ_HAZ_ADDITIONAL,195,1)&lt;&gt;"",INDEX(IHZ_HAZ_EMS,195,1)&lt;&gt;"",INDEX(IHZ_HAZ_SUBSIDIARY,195,1)&lt;&gt;"",INDEX(IHZ_HAZ_UNITTYPE,195,1)&lt;&gt;"",INDEX(IHZ_HAZ_TEUID,195,1)&lt;&gt;"",INDEX(IHZ_HAZ_LOCATION,195,1)&lt;&gt;"",INDEX(IHZ_HAZ_PACKAGES,195,1)&lt;&gt;"",INDEX(IHZ_HAZ_AMOUNT,195,1)&lt;&gt;"",),IF(OR(INDEX(IHZ_HAZ_DGCLASSIFI,195,1)="",INDEX(IHZ_HAZ_TEXTUALREF,195,1)="",INDEX(IHZ_HAZ_TOTAMOUNT,195,1)="",INDEX(IHZ_HAZ_DPGREF,195,1)="",INDEX(IHZ_HAZ_CONSIGNMENT,195,1)="",),FALSE,TRUE),TRUE)</f>
        <v>1</v>
      </c>
      <c r="H202" s="237" t="str">
        <f t="shared" si="7"/>
        <v>Row 195 - All mandatory fields must be given</v>
      </c>
      <c r="J202" s="52" t="b">
        <f>IF(OR(INDEX(OHZ_HAZ_CONSIGNMENT,195,1)&lt;&gt;"",INDEX(OHZ_HAZ_TRANSDOCID,195,1)&lt;&gt;"",INDEX(OHZ_HAZ_PORTOFLOADING,195,1)&lt;&gt;"",INDEX(OHZ_HAZ_PORTOFDISCHARGE,195,1)&lt;&gt;"",INDEX(OHZ_HAZ_DPGREF,195,1)&lt;&gt;"",INDEX(OHZ_HAZ_DGCLASSIFI,195,1)&lt;&gt;"",INDEX(OHZ_HAZ_TEXTUALREF,195,1)&lt;&gt;"",INDEX(OHZ_HAZ_IMOHAZARDC,195,1)&lt;&gt;"",INDEX(OHZ_HAZ_UNNUMBER,195,1)&lt;&gt;"",INDEX(OHZ_HAZ_TOTAMOUNT,195,1)&lt;&gt;"",INDEX(OHZ_HAZ_PACKINGGRO,195,1)&lt;&gt;"",INDEX(OHZ_HAZ_FLASHPOINT,195,1)&lt;&gt;"",INDEX(OHZ_HAZ_MARPOLCODE,195,1)&lt;&gt;"",INDEX(OHZ_HAZ_PACTYPE,195,1)&lt;&gt;"",INDEX(OHZ_HAZ_TOTALPACKA,195,1)&lt;&gt;"",INDEX(OHZ_HAZ_ADDITIONAL,195,1)&lt;&gt;"",INDEX(OHZ_HAZ_EMS,195,1)&lt;&gt;"",INDEX(OHZ_HAZ_SUBSIDIARY,195,1)&lt;&gt;"",INDEX(OHZ_HAZ_UNITTYPE,195,1)&lt;&gt;"",INDEX(OHZ_HAZ_TEUID,195,1)&lt;&gt;"",INDEX(OHZ_HAZ_LOCATION,195,1)&lt;&gt;"",INDEX(OHZ_HAZ_PACKAGES,195,1)&lt;&gt;"",INDEX(OHZ_HAZ_AMOUNT,195,1)&lt;&gt;"",),IF(OR(INDEX(OHZ_HAZ_DGCLASSIFI,195,1)="",INDEX(OHZ_HAZ_TEXTUALREF,195,1)="",INDEX(OHZ_HAZ_TOTAMOUNT,195,1)="",INDEX(OHZ_HAZ_DPGREF,195,1)="",INDEX(OHZ_HAZ_CONSIGNMENT,195,1)="",),FALSE,TRUE),TRUE)</f>
        <v>1</v>
      </c>
      <c r="K202" s="237" t="str">
        <f t="shared" si="8"/>
        <v>Row 195 - All mandatory fields must be given</v>
      </c>
      <c r="L202" s="236" t="s">
        <v>1853</v>
      </c>
      <c r="S202" s="52"/>
      <c r="T202" s="52" t="s">
        <v>2287</v>
      </c>
      <c r="V202" s="52"/>
    </row>
    <row r="203" spans="6:22">
      <c r="F203" s="236" t="s">
        <v>1853</v>
      </c>
      <c r="G203" s="250" t="b">
        <f>IF(OR(INDEX(IHZ_HAZ_CONSIGNMENT,196,1)&lt;&gt;"",INDEX(IHZ_HAZ_TRANSDOCID,196,1)&lt;&gt;"",INDEX(IHZ_HAZ_PORTOFLOADING,196,1)&lt;&gt;"",INDEX(IHZ_HAZ_PORTOFDISCHARGE,196,1)&lt;&gt;"",INDEX(IHZ_HAZ_DPGREF,196,1)&lt;&gt;"",INDEX(IHZ_HAZ_DGCLASSIFI,196,1)&lt;&gt;"",INDEX(IHZ_HAZ_TEXTUALREF,196,1)&lt;&gt;"",INDEX(IHZ_HAZ_IMOHAZARDC,196,1)&lt;&gt;"",INDEX(IHZ_HAZ_UNNUMBER,196,1)&lt;&gt;"",INDEX(IHZ_HAZ_TOTAMOUNT,196,1)&lt;&gt;"",INDEX(IHZ_HAZ_PACKINGGRO,196,1)&lt;&gt;"",INDEX(IHZ_HAZ_FLASHPOINT,196,1)&lt;&gt;"",INDEX(IHZ_HAZ_MARPOLCODE,196,1)&lt;&gt;"",INDEX(IHZ_HAZ_PACTYPE,196,1)&lt;&gt;"",INDEX(IHZ_HAZ_TOTALPACKA,196,1)&lt;&gt;"",INDEX(IHZ_HAZ_ADDITIONAL,196,1)&lt;&gt;"",INDEX(IHZ_HAZ_EMS,196,1)&lt;&gt;"",INDEX(IHZ_HAZ_SUBSIDIARY,196,1)&lt;&gt;"",INDEX(IHZ_HAZ_UNITTYPE,196,1)&lt;&gt;"",INDEX(IHZ_HAZ_TEUID,196,1)&lt;&gt;"",INDEX(IHZ_HAZ_LOCATION,196,1)&lt;&gt;"",INDEX(IHZ_HAZ_PACKAGES,196,1)&lt;&gt;"",INDEX(IHZ_HAZ_AMOUNT,196,1)&lt;&gt;"",),IF(OR(INDEX(IHZ_HAZ_DGCLASSIFI,196,1)="",INDEX(IHZ_HAZ_TEXTUALREF,196,1)="",INDEX(IHZ_HAZ_TOTAMOUNT,196,1)="",INDEX(IHZ_HAZ_DPGREF,196,1)="",INDEX(IHZ_HAZ_CONSIGNMENT,196,1)="",),FALSE,TRUE),TRUE)</f>
        <v>1</v>
      </c>
      <c r="H203" s="237" t="str">
        <f t="shared" si="7"/>
        <v>Row 196 - All mandatory fields must be given</v>
      </c>
      <c r="J203" s="52" t="b">
        <f>IF(OR(INDEX(OHZ_HAZ_CONSIGNMENT,196,1)&lt;&gt;"",INDEX(OHZ_HAZ_TRANSDOCID,196,1)&lt;&gt;"",INDEX(OHZ_HAZ_PORTOFLOADING,196,1)&lt;&gt;"",INDEX(OHZ_HAZ_PORTOFDISCHARGE,196,1)&lt;&gt;"",INDEX(OHZ_HAZ_DPGREF,196,1)&lt;&gt;"",INDEX(OHZ_HAZ_DGCLASSIFI,196,1)&lt;&gt;"",INDEX(OHZ_HAZ_TEXTUALREF,196,1)&lt;&gt;"",INDEX(OHZ_HAZ_IMOHAZARDC,196,1)&lt;&gt;"",INDEX(OHZ_HAZ_UNNUMBER,196,1)&lt;&gt;"",INDEX(OHZ_HAZ_TOTAMOUNT,196,1)&lt;&gt;"",INDEX(OHZ_HAZ_PACKINGGRO,196,1)&lt;&gt;"",INDEX(OHZ_HAZ_FLASHPOINT,196,1)&lt;&gt;"",INDEX(OHZ_HAZ_MARPOLCODE,196,1)&lt;&gt;"",INDEX(OHZ_HAZ_PACTYPE,196,1)&lt;&gt;"",INDEX(OHZ_HAZ_TOTALPACKA,196,1)&lt;&gt;"",INDEX(OHZ_HAZ_ADDITIONAL,196,1)&lt;&gt;"",INDEX(OHZ_HAZ_EMS,196,1)&lt;&gt;"",INDEX(OHZ_HAZ_SUBSIDIARY,196,1)&lt;&gt;"",INDEX(OHZ_HAZ_UNITTYPE,196,1)&lt;&gt;"",INDEX(OHZ_HAZ_TEUID,196,1)&lt;&gt;"",INDEX(OHZ_HAZ_LOCATION,196,1)&lt;&gt;"",INDEX(OHZ_HAZ_PACKAGES,196,1)&lt;&gt;"",INDEX(OHZ_HAZ_AMOUNT,196,1)&lt;&gt;"",),IF(OR(INDEX(OHZ_HAZ_DGCLASSIFI,196,1)="",INDEX(OHZ_HAZ_TEXTUALREF,196,1)="",INDEX(OHZ_HAZ_TOTAMOUNT,196,1)="",INDEX(OHZ_HAZ_DPGREF,196,1)="",INDEX(OHZ_HAZ_CONSIGNMENT,196,1)="",),FALSE,TRUE),TRUE)</f>
        <v>1</v>
      </c>
      <c r="K203" s="237" t="str">
        <f t="shared" si="8"/>
        <v>Row 196 - All mandatory fields must be given</v>
      </c>
      <c r="L203" s="236" t="s">
        <v>1853</v>
      </c>
      <c r="S203" s="52"/>
      <c r="T203" s="52" t="s">
        <v>2288</v>
      </c>
      <c r="V203" s="52"/>
    </row>
    <row r="204" spans="6:22">
      <c r="F204" s="236" t="s">
        <v>1853</v>
      </c>
      <c r="G204" s="250" t="b">
        <f>IF(OR(INDEX(IHZ_HAZ_CONSIGNMENT,197,1)&lt;&gt;"",INDEX(IHZ_HAZ_TRANSDOCID,197,1)&lt;&gt;"",INDEX(IHZ_HAZ_PORTOFLOADING,197,1)&lt;&gt;"",INDEX(IHZ_HAZ_PORTOFDISCHARGE,197,1)&lt;&gt;"",INDEX(IHZ_HAZ_DPGREF,197,1)&lt;&gt;"",INDEX(IHZ_HAZ_DGCLASSIFI,197,1)&lt;&gt;"",INDEX(IHZ_HAZ_TEXTUALREF,197,1)&lt;&gt;"",INDEX(IHZ_HAZ_IMOHAZARDC,197,1)&lt;&gt;"",INDEX(IHZ_HAZ_UNNUMBER,197,1)&lt;&gt;"",INDEX(IHZ_HAZ_TOTAMOUNT,197,1)&lt;&gt;"",INDEX(IHZ_HAZ_PACKINGGRO,197,1)&lt;&gt;"",INDEX(IHZ_HAZ_FLASHPOINT,197,1)&lt;&gt;"",INDEX(IHZ_HAZ_MARPOLCODE,197,1)&lt;&gt;"",INDEX(IHZ_HAZ_PACTYPE,197,1)&lt;&gt;"",INDEX(IHZ_HAZ_TOTALPACKA,197,1)&lt;&gt;"",INDEX(IHZ_HAZ_ADDITIONAL,197,1)&lt;&gt;"",INDEX(IHZ_HAZ_EMS,197,1)&lt;&gt;"",INDEX(IHZ_HAZ_SUBSIDIARY,197,1)&lt;&gt;"",INDEX(IHZ_HAZ_UNITTYPE,197,1)&lt;&gt;"",INDEX(IHZ_HAZ_TEUID,197,1)&lt;&gt;"",INDEX(IHZ_HAZ_LOCATION,197,1)&lt;&gt;"",INDEX(IHZ_HAZ_PACKAGES,197,1)&lt;&gt;"",INDEX(IHZ_HAZ_AMOUNT,197,1)&lt;&gt;"",),IF(OR(INDEX(IHZ_HAZ_DGCLASSIFI,197,1)="",INDEX(IHZ_HAZ_TEXTUALREF,197,1)="",INDEX(IHZ_HAZ_TOTAMOUNT,197,1)="",INDEX(IHZ_HAZ_DPGREF,197,1)="",INDEX(IHZ_HAZ_CONSIGNMENT,197,1)="",),FALSE,TRUE),TRUE)</f>
        <v>1</v>
      </c>
      <c r="H204" s="237" t="str">
        <f t="shared" si="7"/>
        <v>Row 197 - All mandatory fields must be given</v>
      </c>
      <c r="J204" s="52" t="b">
        <f>IF(OR(INDEX(OHZ_HAZ_CONSIGNMENT,197,1)&lt;&gt;"",INDEX(OHZ_HAZ_TRANSDOCID,197,1)&lt;&gt;"",INDEX(OHZ_HAZ_PORTOFLOADING,197,1)&lt;&gt;"",INDEX(OHZ_HAZ_PORTOFDISCHARGE,197,1)&lt;&gt;"",INDEX(OHZ_HAZ_DPGREF,197,1)&lt;&gt;"",INDEX(OHZ_HAZ_DGCLASSIFI,197,1)&lt;&gt;"",INDEX(OHZ_HAZ_TEXTUALREF,197,1)&lt;&gt;"",INDEX(OHZ_HAZ_IMOHAZARDC,197,1)&lt;&gt;"",INDEX(OHZ_HAZ_UNNUMBER,197,1)&lt;&gt;"",INDEX(OHZ_HAZ_TOTAMOUNT,197,1)&lt;&gt;"",INDEX(OHZ_HAZ_PACKINGGRO,197,1)&lt;&gt;"",INDEX(OHZ_HAZ_FLASHPOINT,197,1)&lt;&gt;"",INDEX(OHZ_HAZ_MARPOLCODE,197,1)&lt;&gt;"",INDEX(OHZ_HAZ_PACTYPE,197,1)&lt;&gt;"",INDEX(OHZ_HAZ_TOTALPACKA,197,1)&lt;&gt;"",INDEX(OHZ_HAZ_ADDITIONAL,197,1)&lt;&gt;"",INDEX(OHZ_HAZ_EMS,197,1)&lt;&gt;"",INDEX(OHZ_HAZ_SUBSIDIARY,197,1)&lt;&gt;"",INDEX(OHZ_HAZ_UNITTYPE,197,1)&lt;&gt;"",INDEX(OHZ_HAZ_TEUID,197,1)&lt;&gt;"",INDEX(OHZ_HAZ_LOCATION,197,1)&lt;&gt;"",INDEX(OHZ_HAZ_PACKAGES,197,1)&lt;&gt;"",INDEX(OHZ_HAZ_AMOUNT,197,1)&lt;&gt;"",),IF(OR(INDEX(OHZ_HAZ_DGCLASSIFI,197,1)="",INDEX(OHZ_HAZ_TEXTUALREF,197,1)="",INDEX(OHZ_HAZ_TOTAMOUNT,197,1)="",INDEX(OHZ_HAZ_DPGREF,197,1)="",INDEX(OHZ_HAZ_CONSIGNMENT,197,1)="",),FALSE,TRUE),TRUE)</f>
        <v>1</v>
      </c>
      <c r="K204" s="237" t="str">
        <f t="shared" si="8"/>
        <v>Row 197 - All mandatory fields must be given</v>
      </c>
      <c r="L204" s="236" t="s">
        <v>1853</v>
      </c>
      <c r="S204" s="52"/>
      <c r="T204" s="52" t="s">
        <v>2289</v>
      </c>
      <c r="V204" s="52"/>
    </row>
    <row r="205" spans="6:22">
      <c r="F205" s="236" t="s">
        <v>1853</v>
      </c>
      <c r="G205" s="250" t="b">
        <f>IF(OR(INDEX(IHZ_HAZ_CONSIGNMENT,198,1)&lt;&gt;"",INDEX(IHZ_HAZ_TRANSDOCID,198,1)&lt;&gt;"",INDEX(IHZ_HAZ_PORTOFLOADING,198,1)&lt;&gt;"",INDEX(IHZ_HAZ_PORTOFDISCHARGE,198,1)&lt;&gt;"",INDEX(IHZ_HAZ_DPGREF,198,1)&lt;&gt;"",INDEX(IHZ_HAZ_DGCLASSIFI,198,1)&lt;&gt;"",INDEX(IHZ_HAZ_TEXTUALREF,198,1)&lt;&gt;"",INDEX(IHZ_HAZ_IMOHAZARDC,198,1)&lt;&gt;"",INDEX(IHZ_HAZ_UNNUMBER,198,1)&lt;&gt;"",INDEX(IHZ_HAZ_TOTAMOUNT,198,1)&lt;&gt;"",INDEX(IHZ_HAZ_PACKINGGRO,198,1)&lt;&gt;"",INDEX(IHZ_HAZ_FLASHPOINT,198,1)&lt;&gt;"",INDEX(IHZ_HAZ_MARPOLCODE,198,1)&lt;&gt;"",INDEX(IHZ_HAZ_PACTYPE,198,1)&lt;&gt;"",INDEX(IHZ_HAZ_TOTALPACKA,198,1)&lt;&gt;"",INDEX(IHZ_HAZ_ADDITIONAL,198,1)&lt;&gt;"",INDEX(IHZ_HAZ_EMS,198,1)&lt;&gt;"",INDEX(IHZ_HAZ_SUBSIDIARY,198,1)&lt;&gt;"",INDEX(IHZ_HAZ_UNITTYPE,198,1)&lt;&gt;"",INDEX(IHZ_HAZ_TEUID,198,1)&lt;&gt;"",INDEX(IHZ_HAZ_LOCATION,198,1)&lt;&gt;"",INDEX(IHZ_HAZ_PACKAGES,198,1)&lt;&gt;"",INDEX(IHZ_HAZ_AMOUNT,198,1)&lt;&gt;"",),IF(OR(INDEX(IHZ_HAZ_DGCLASSIFI,198,1)="",INDEX(IHZ_HAZ_TEXTUALREF,198,1)="",INDEX(IHZ_HAZ_TOTAMOUNT,198,1)="",INDEX(IHZ_HAZ_DPGREF,198,1)="",INDEX(IHZ_HAZ_CONSIGNMENT,198,1)="",),FALSE,TRUE),TRUE)</f>
        <v>1</v>
      </c>
      <c r="H205" s="237" t="str">
        <f t="shared" si="7"/>
        <v>Row 198 - All mandatory fields must be given</v>
      </c>
      <c r="J205" s="52" t="b">
        <f>IF(OR(INDEX(OHZ_HAZ_CONSIGNMENT,198,1)&lt;&gt;"",INDEX(OHZ_HAZ_TRANSDOCID,198,1)&lt;&gt;"",INDEX(OHZ_HAZ_PORTOFLOADING,198,1)&lt;&gt;"",INDEX(OHZ_HAZ_PORTOFDISCHARGE,198,1)&lt;&gt;"",INDEX(OHZ_HAZ_DPGREF,198,1)&lt;&gt;"",INDEX(OHZ_HAZ_DGCLASSIFI,198,1)&lt;&gt;"",INDEX(OHZ_HAZ_TEXTUALREF,198,1)&lt;&gt;"",INDEX(OHZ_HAZ_IMOHAZARDC,198,1)&lt;&gt;"",INDEX(OHZ_HAZ_UNNUMBER,198,1)&lt;&gt;"",INDEX(OHZ_HAZ_TOTAMOUNT,198,1)&lt;&gt;"",INDEX(OHZ_HAZ_PACKINGGRO,198,1)&lt;&gt;"",INDEX(OHZ_HAZ_FLASHPOINT,198,1)&lt;&gt;"",INDEX(OHZ_HAZ_MARPOLCODE,198,1)&lt;&gt;"",INDEX(OHZ_HAZ_PACTYPE,198,1)&lt;&gt;"",INDEX(OHZ_HAZ_TOTALPACKA,198,1)&lt;&gt;"",INDEX(OHZ_HAZ_ADDITIONAL,198,1)&lt;&gt;"",INDEX(OHZ_HAZ_EMS,198,1)&lt;&gt;"",INDEX(OHZ_HAZ_SUBSIDIARY,198,1)&lt;&gt;"",INDEX(OHZ_HAZ_UNITTYPE,198,1)&lt;&gt;"",INDEX(OHZ_HAZ_TEUID,198,1)&lt;&gt;"",INDEX(OHZ_HAZ_LOCATION,198,1)&lt;&gt;"",INDEX(OHZ_HAZ_PACKAGES,198,1)&lt;&gt;"",INDEX(OHZ_HAZ_AMOUNT,198,1)&lt;&gt;"",),IF(OR(INDEX(OHZ_HAZ_DGCLASSIFI,198,1)="",INDEX(OHZ_HAZ_TEXTUALREF,198,1)="",INDEX(OHZ_HAZ_TOTAMOUNT,198,1)="",INDEX(OHZ_HAZ_DPGREF,198,1)="",INDEX(OHZ_HAZ_CONSIGNMENT,198,1)="",),FALSE,TRUE),TRUE)</f>
        <v>1</v>
      </c>
      <c r="K205" s="237" t="str">
        <f t="shared" si="8"/>
        <v>Row 198 - All mandatory fields must be given</v>
      </c>
      <c r="L205" s="236" t="s">
        <v>1853</v>
      </c>
      <c r="S205" s="52"/>
      <c r="T205" s="52" t="s">
        <v>2290</v>
      </c>
      <c r="V205" s="52"/>
    </row>
    <row r="206" spans="6:22">
      <c r="F206" s="236" t="s">
        <v>1853</v>
      </c>
      <c r="G206" s="250" t="b">
        <f>IF(OR(INDEX(IHZ_HAZ_CONSIGNMENT,199,1)&lt;&gt;"",INDEX(IHZ_HAZ_TRANSDOCID,199,1)&lt;&gt;"",INDEX(IHZ_HAZ_PORTOFLOADING,199,1)&lt;&gt;"",INDEX(IHZ_HAZ_PORTOFDISCHARGE,199,1)&lt;&gt;"",INDEX(IHZ_HAZ_DPGREF,199,1)&lt;&gt;"",INDEX(IHZ_HAZ_DGCLASSIFI,199,1)&lt;&gt;"",INDEX(IHZ_HAZ_TEXTUALREF,199,1)&lt;&gt;"",INDEX(IHZ_HAZ_IMOHAZARDC,199,1)&lt;&gt;"",INDEX(IHZ_HAZ_UNNUMBER,199,1)&lt;&gt;"",INDEX(IHZ_HAZ_TOTAMOUNT,199,1)&lt;&gt;"",INDEX(IHZ_HAZ_PACKINGGRO,199,1)&lt;&gt;"",INDEX(IHZ_HAZ_FLASHPOINT,199,1)&lt;&gt;"",INDEX(IHZ_HAZ_MARPOLCODE,199,1)&lt;&gt;"",INDEX(IHZ_HAZ_PACTYPE,199,1)&lt;&gt;"",INDEX(IHZ_HAZ_TOTALPACKA,199,1)&lt;&gt;"",INDEX(IHZ_HAZ_ADDITIONAL,199,1)&lt;&gt;"",INDEX(IHZ_HAZ_EMS,199,1)&lt;&gt;"",INDEX(IHZ_HAZ_SUBSIDIARY,199,1)&lt;&gt;"",INDEX(IHZ_HAZ_UNITTYPE,199,1)&lt;&gt;"",INDEX(IHZ_HAZ_TEUID,199,1)&lt;&gt;"",INDEX(IHZ_HAZ_LOCATION,199,1)&lt;&gt;"",INDEX(IHZ_HAZ_PACKAGES,199,1)&lt;&gt;"",INDEX(IHZ_HAZ_AMOUNT,199,1)&lt;&gt;"",),IF(OR(INDEX(IHZ_HAZ_DGCLASSIFI,199,1)="",INDEX(IHZ_HAZ_TEXTUALREF,199,1)="",INDEX(IHZ_HAZ_TOTAMOUNT,199,1)="",INDEX(IHZ_HAZ_DPGREF,199,1)="",INDEX(IHZ_HAZ_CONSIGNMENT,199,1)="",),FALSE,TRUE),TRUE)</f>
        <v>1</v>
      </c>
      <c r="H206" s="237" t="str">
        <f t="shared" si="7"/>
        <v>Row 199 - All mandatory fields must be given</v>
      </c>
      <c r="J206" s="52" t="b">
        <f>IF(OR(INDEX(OHZ_HAZ_CONSIGNMENT,199,1)&lt;&gt;"",INDEX(OHZ_HAZ_TRANSDOCID,199,1)&lt;&gt;"",INDEX(OHZ_HAZ_PORTOFLOADING,199,1)&lt;&gt;"",INDEX(OHZ_HAZ_PORTOFDISCHARGE,199,1)&lt;&gt;"",INDEX(OHZ_HAZ_DPGREF,199,1)&lt;&gt;"",INDEX(OHZ_HAZ_DGCLASSIFI,199,1)&lt;&gt;"",INDEX(OHZ_HAZ_TEXTUALREF,199,1)&lt;&gt;"",INDEX(OHZ_HAZ_IMOHAZARDC,199,1)&lt;&gt;"",INDEX(OHZ_HAZ_UNNUMBER,199,1)&lt;&gt;"",INDEX(OHZ_HAZ_TOTAMOUNT,199,1)&lt;&gt;"",INDEX(OHZ_HAZ_PACKINGGRO,199,1)&lt;&gt;"",INDEX(OHZ_HAZ_FLASHPOINT,199,1)&lt;&gt;"",INDEX(OHZ_HAZ_MARPOLCODE,199,1)&lt;&gt;"",INDEX(OHZ_HAZ_PACTYPE,199,1)&lt;&gt;"",INDEX(OHZ_HAZ_TOTALPACKA,199,1)&lt;&gt;"",INDEX(OHZ_HAZ_ADDITIONAL,199,1)&lt;&gt;"",INDEX(OHZ_HAZ_EMS,199,1)&lt;&gt;"",INDEX(OHZ_HAZ_SUBSIDIARY,199,1)&lt;&gt;"",INDEX(OHZ_HAZ_UNITTYPE,199,1)&lt;&gt;"",INDEX(OHZ_HAZ_TEUID,199,1)&lt;&gt;"",INDEX(OHZ_HAZ_LOCATION,199,1)&lt;&gt;"",INDEX(OHZ_HAZ_PACKAGES,199,1)&lt;&gt;"",INDEX(OHZ_HAZ_AMOUNT,199,1)&lt;&gt;"",),IF(OR(INDEX(OHZ_HAZ_DGCLASSIFI,199,1)="",INDEX(OHZ_HAZ_TEXTUALREF,199,1)="",INDEX(OHZ_HAZ_TOTAMOUNT,199,1)="",INDEX(OHZ_HAZ_DPGREF,199,1)="",INDEX(OHZ_HAZ_CONSIGNMENT,199,1)="",),FALSE,TRUE),TRUE)</f>
        <v>1</v>
      </c>
      <c r="K206" s="237" t="str">
        <f t="shared" si="8"/>
        <v>Row 199 - All mandatory fields must be given</v>
      </c>
      <c r="L206" s="236" t="s">
        <v>1853</v>
      </c>
      <c r="S206" s="52"/>
      <c r="T206" s="52" t="s">
        <v>2291</v>
      </c>
      <c r="V206" s="52"/>
    </row>
    <row r="207" spans="6:22">
      <c r="F207" s="236" t="s">
        <v>1853</v>
      </c>
      <c r="G207" s="250" t="b">
        <f>IF(OR(INDEX(IHZ_HAZ_CONSIGNMENT,200,1)&lt;&gt;"",INDEX(IHZ_HAZ_TRANSDOCID,200,1)&lt;&gt;"",INDEX(IHZ_HAZ_PORTOFLOADING,200,1)&lt;&gt;"",INDEX(IHZ_HAZ_PORTOFDISCHARGE,200,1)&lt;&gt;"",INDEX(IHZ_HAZ_DPGREF,200,1)&lt;&gt;"",INDEX(IHZ_HAZ_DGCLASSIFI,200,1)&lt;&gt;"",INDEX(IHZ_HAZ_TEXTUALREF,200,1)&lt;&gt;"",INDEX(IHZ_HAZ_IMOHAZARDC,200,1)&lt;&gt;"",INDEX(IHZ_HAZ_UNNUMBER,200,1)&lt;&gt;"",INDEX(IHZ_HAZ_TOTAMOUNT,200,1)&lt;&gt;"",INDEX(IHZ_HAZ_PACKINGGRO,200,1)&lt;&gt;"",INDEX(IHZ_HAZ_FLASHPOINT,200,1)&lt;&gt;"",INDEX(IHZ_HAZ_MARPOLCODE,200,1)&lt;&gt;"",INDEX(IHZ_HAZ_PACTYPE,200,1)&lt;&gt;"",INDEX(IHZ_HAZ_TOTALPACKA,200,1)&lt;&gt;"",INDEX(IHZ_HAZ_ADDITIONAL,200,1)&lt;&gt;"",INDEX(IHZ_HAZ_EMS,200,1)&lt;&gt;"",INDEX(IHZ_HAZ_SUBSIDIARY,200,1)&lt;&gt;"",INDEX(IHZ_HAZ_UNITTYPE,200,1)&lt;&gt;"",INDEX(IHZ_HAZ_TEUID,200,1)&lt;&gt;"",INDEX(IHZ_HAZ_LOCATION,200,1)&lt;&gt;"",INDEX(IHZ_HAZ_PACKAGES,200,1)&lt;&gt;"",INDEX(IHZ_HAZ_AMOUNT,200,1)&lt;&gt;"",),IF(OR(INDEX(IHZ_HAZ_DGCLASSIFI,200,1)="",INDEX(IHZ_HAZ_TEXTUALREF,200,1)="",INDEX(IHZ_HAZ_TOTAMOUNT,200,1)="",INDEX(IHZ_HAZ_DPGREF,200,1)="",INDEX(IHZ_HAZ_CONSIGNMENT,200,1)="",),FALSE,TRUE),TRUE)</f>
        <v>1</v>
      </c>
      <c r="H207" s="237" t="str">
        <f t="shared" si="7"/>
        <v>Row 200 - All mandatory fields must be given</v>
      </c>
      <c r="J207" s="52" t="b">
        <f>IF(OR(INDEX(OHZ_HAZ_CONSIGNMENT,200,1)&lt;&gt;"",INDEX(OHZ_HAZ_TRANSDOCID,200,1)&lt;&gt;"",INDEX(OHZ_HAZ_PORTOFLOADING,200,1)&lt;&gt;"",INDEX(OHZ_HAZ_PORTOFDISCHARGE,200,1)&lt;&gt;"",INDEX(OHZ_HAZ_DPGREF,200,1)&lt;&gt;"",INDEX(OHZ_HAZ_DGCLASSIFI,200,1)&lt;&gt;"",INDEX(OHZ_HAZ_TEXTUALREF,200,1)&lt;&gt;"",INDEX(OHZ_HAZ_IMOHAZARDC,200,1)&lt;&gt;"",INDEX(OHZ_HAZ_UNNUMBER,200,1)&lt;&gt;"",INDEX(OHZ_HAZ_TOTAMOUNT,200,1)&lt;&gt;"",INDEX(OHZ_HAZ_PACKINGGRO,200,1)&lt;&gt;"",INDEX(OHZ_HAZ_FLASHPOINT,200,1)&lt;&gt;"",INDEX(OHZ_HAZ_MARPOLCODE,200,1)&lt;&gt;"",INDEX(OHZ_HAZ_PACTYPE,200,1)&lt;&gt;"",INDEX(OHZ_HAZ_TOTALPACKA,200,1)&lt;&gt;"",INDEX(OHZ_HAZ_ADDITIONAL,200,1)&lt;&gt;"",INDEX(OHZ_HAZ_EMS,200,1)&lt;&gt;"",INDEX(OHZ_HAZ_SUBSIDIARY,200,1)&lt;&gt;"",INDEX(OHZ_HAZ_UNITTYPE,200,1)&lt;&gt;"",INDEX(OHZ_HAZ_TEUID,200,1)&lt;&gt;"",INDEX(OHZ_HAZ_LOCATION,200,1)&lt;&gt;"",INDEX(OHZ_HAZ_PACKAGES,200,1)&lt;&gt;"",INDEX(OHZ_HAZ_AMOUNT,200,1)&lt;&gt;"",),IF(OR(INDEX(OHZ_HAZ_DGCLASSIFI,200,1)="",INDEX(OHZ_HAZ_TEXTUALREF,200,1)="",INDEX(OHZ_HAZ_TOTAMOUNT,200,1)="",INDEX(OHZ_HAZ_DPGREF,200,1)="",INDEX(OHZ_HAZ_CONSIGNMENT,200,1)="",),FALSE,TRUE),TRUE)</f>
        <v>1</v>
      </c>
      <c r="K207" s="237" t="str">
        <f t="shared" si="8"/>
        <v>Row 200 - All mandatory fields must be given</v>
      </c>
      <c r="L207" s="236" t="s">
        <v>1853</v>
      </c>
      <c r="S207" s="52"/>
      <c r="T207" s="52" t="s">
        <v>2292</v>
      </c>
      <c r="V207" s="52"/>
    </row>
    <row r="208" spans="6:22">
      <c r="F208" s="236" t="s">
        <v>1853</v>
      </c>
      <c r="G208" s="250" t="b">
        <f>IF(OR(INDEX(IHZ_HAZ_CONSIGNMENT,201,1)&lt;&gt;"",INDEX(IHZ_HAZ_TRANSDOCID,201,1)&lt;&gt;"",INDEX(IHZ_HAZ_PORTOFLOADING,201,1)&lt;&gt;"",INDEX(IHZ_HAZ_PORTOFDISCHARGE,201,1)&lt;&gt;"",INDEX(IHZ_HAZ_DPGREF,201,1)&lt;&gt;"",INDEX(IHZ_HAZ_DGCLASSIFI,201,1)&lt;&gt;"",INDEX(IHZ_HAZ_TEXTUALREF,201,1)&lt;&gt;"",INDEX(IHZ_HAZ_IMOHAZARDC,201,1)&lt;&gt;"",INDEX(IHZ_HAZ_UNNUMBER,201,1)&lt;&gt;"",INDEX(IHZ_HAZ_TOTAMOUNT,201,1)&lt;&gt;"",INDEX(IHZ_HAZ_PACKINGGRO,201,1)&lt;&gt;"",INDEX(IHZ_HAZ_FLASHPOINT,201,1)&lt;&gt;"",INDEX(IHZ_HAZ_MARPOLCODE,201,1)&lt;&gt;"",INDEX(IHZ_HAZ_PACTYPE,201,1)&lt;&gt;"",INDEX(IHZ_HAZ_TOTALPACKA,201,1)&lt;&gt;"",INDEX(IHZ_HAZ_ADDITIONAL,201,1)&lt;&gt;"",INDEX(IHZ_HAZ_EMS,201,1)&lt;&gt;"",INDEX(IHZ_HAZ_SUBSIDIARY,201,1)&lt;&gt;"",INDEX(IHZ_HAZ_UNITTYPE,201,1)&lt;&gt;"",INDEX(IHZ_HAZ_TEUID,201,1)&lt;&gt;"",INDEX(IHZ_HAZ_LOCATION,201,1)&lt;&gt;"",INDEX(IHZ_HAZ_PACKAGES,201,1)&lt;&gt;"",INDEX(IHZ_HAZ_AMOUNT,201,1)&lt;&gt;"",),IF(OR(INDEX(IHZ_HAZ_DGCLASSIFI,201,1)="",INDEX(IHZ_HAZ_TEXTUALREF,201,1)="",INDEX(IHZ_HAZ_TOTAMOUNT,201,1)="",INDEX(IHZ_HAZ_DPGREF,201,1)="",INDEX(IHZ_HAZ_CONSIGNMENT,201,1)="",),FALSE,TRUE),TRUE)</f>
        <v>1</v>
      </c>
      <c r="H208" s="237" t="str">
        <f t="shared" si="7"/>
        <v>Row 201 - All mandatory fields must be given</v>
      </c>
      <c r="J208" s="52" t="b">
        <f>IF(OR(INDEX(OHZ_HAZ_CONSIGNMENT,201,1)&lt;&gt;"",INDEX(OHZ_HAZ_TRANSDOCID,201,1)&lt;&gt;"",INDEX(OHZ_HAZ_PORTOFLOADING,201,1)&lt;&gt;"",INDEX(OHZ_HAZ_PORTOFDISCHARGE,201,1)&lt;&gt;"",INDEX(OHZ_HAZ_DPGREF,201,1)&lt;&gt;"",INDEX(OHZ_HAZ_DGCLASSIFI,201,1)&lt;&gt;"",INDEX(OHZ_HAZ_TEXTUALREF,201,1)&lt;&gt;"",INDEX(OHZ_HAZ_IMOHAZARDC,201,1)&lt;&gt;"",INDEX(OHZ_HAZ_UNNUMBER,201,1)&lt;&gt;"",INDEX(OHZ_HAZ_TOTAMOUNT,201,1)&lt;&gt;"",INDEX(OHZ_HAZ_PACKINGGRO,201,1)&lt;&gt;"",INDEX(OHZ_HAZ_FLASHPOINT,201,1)&lt;&gt;"",INDEX(OHZ_HAZ_MARPOLCODE,201,1)&lt;&gt;"",INDEX(OHZ_HAZ_PACTYPE,201,1)&lt;&gt;"",INDEX(OHZ_HAZ_TOTALPACKA,201,1)&lt;&gt;"",INDEX(OHZ_HAZ_ADDITIONAL,201,1)&lt;&gt;"",INDEX(OHZ_HAZ_EMS,201,1)&lt;&gt;"",INDEX(OHZ_HAZ_SUBSIDIARY,201,1)&lt;&gt;"",INDEX(OHZ_HAZ_UNITTYPE,201,1)&lt;&gt;"",INDEX(OHZ_HAZ_TEUID,201,1)&lt;&gt;"",INDEX(OHZ_HAZ_LOCATION,201,1)&lt;&gt;"",INDEX(OHZ_HAZ_PACKAGES,201,1)&lt;&gt;"",INDEX(OHZ_HAZ_AMOUNT,201,1)&lt;&gt;"",),IF(OR(INDEX(OHZ_HAZ_DGCLASSIFI,201,1)="",INDEX(OHZ_HAZ_TEXTUALREF,201,1)="",INDEX(OHZ_HAZ_TOTAMOUNT,201,1)="",INDEX(OHZ_HAZ_DPGREF,201,1)="",INDEX(OHZ_HAZ_CONSIGNMENT,201,1)="",),FALSE,TRUE),TRUE)</f>
        <v>1</v>
      </c>
      <c r="K208" s="237" t="str">
        <f t="shared" si="8"/>
        <v>Row 201 - All mandatory fields must be given</v>
      </c>
      <c r="L208" s="236" t="s">
        <v>1853</v>
      </c>
      <c r="S208" s="52"/>
      <c r="T208" s="52" t="s">
        <v>2293</v>
      </c>
      <c r="V208" s="52"/>
    </row>
    <row r="209" spans="6:22">
      <c r="F209" s="236" t="s">
        <v>1853</v>
      </c>
      <c r="G209" s="250" t="b">
        <f>IF(OR(INDEX(IHZ_HAZ_CONSIGNMENT,202,1)&lt;&gt;"",INDEX(IHZ_HAZ_TRANSDOCID,202,1)&lt;&gt;"",INDEX(IHZ_HAZ_PORTOFLOADING,202,1)&lt;&gt;"",INDEX(IHZ_HAZ_PORTOFDISCHARGE,202,1)&lt;&gt;"",INDEX(IHZ_HAZ_DPGREF,202,1)&lt;&gt;"",INDEX(IHZ_HAZ_DGCLASSIFI,202,1)&lt;&gt;"",INDEX(IHZ_HAZ_TEXTUALREF,202,1)&lt;&gt;"",INDEX(IHZ_HAZ_IMOHAZARDC,202,1)&lt;&gt;"",INDEX(IHZ_HAZ_UNNUMBER,202,1)&lt;&gt;"",INDEX(IHZ_HAZ_TOTAMOUNT,202,1)&lt;&gt;"",INDEX(IHZ_HAZ_PACKINGGRO,202,1)&lt;&gt;"",INDEX(IHZ_HAZ_FLASHPOINT,202,1)&lt;&gt;"",INDEX(IHZ_HAZ_MARPOLCODE,202,1)&lt;&gt;"",INDEX(IHZ_HAZ_PACTYPE,202,1)&lt;&gt;"",INDEX(IHZ_HAZ_TOTALPACKA,202,1)&lt;&gt;"",INDEX(IHZ_HAZ_ADDITIONAL,202,1)&lt;&gt;"",INDEX(IHZ_HAZ_EMS,202,1)&lt;&gt;"",INDEX(IHZ_HAZ_SUBSIDIARY,202,1)&lt;&gt;"",INDEX(IHZ_HAZ_UNITTYPE,202,1)&lt;&gt;"",INDEX(IHZ_HAZ_TEUID,202,1)&lt;&gt;"",INDEX(IHZ_HAZ_LOCATION,202,1)&lt;&gt;"",INDEX(IHZ_HAZ_PACKAGES,202,1)&lt;&gt;"",INDEX(IHZ_HAZ_AMOUNT,202,1)&lt;&gt;"",),IF(OR(INDEX(IHZ_HAZ_DGCLASSIFI,202,1)="",INDEX(IHZ_HAZ_TEXTUALREF,202,1)="",INDEX(IHZ_HAZ_TOTAMOUNT,202,1)="",INDEX(IHZ_HAZ_DPGREF,202,1)="",INDEX(IHZ_HAZ_CONSIGNMENT,202,1)="",),FALSE,TRUE),TRUE)</f>
        <v>1</v>
      </c>
      <c r="H209" s="237" t="str">
        <f t="shared" si="7"/>
        <v>Row 202 - All mandatory fields must be given</v>
      </c>
      <c r="J209" s="52" t="b">
        <f>IF(OR(INDEX(OHZ_HAZ_CONSIGNMENT,202,1)&lt;&gt;"",INDEX(OHZ_HAZ_TRANSDOCID,202,1)&lt;&gt;"",INDEX(OHZ_HAZ_PORTOFLOADING,202,1)&lt;&gt;"",INDEX(OHZ_HAZ_PORTOFDISCHARGE,202,1)&lt;&gt;"",INDEX(OHZ_HAZ_DPGREF,202,1)&lt;&gt;"",INDEX(OHZ_HAZ_DGCLASSIFI,202,1)&lt;&gt;"",INDEX(OHZ_HAZ_TEXTUALREF,202,1)&lt;&gt;"",INDEX(OHZ_HAZ_IMOHAZARDC,202,1)&lt;&gt;"",INDEX(OHZ_HAZ_UNNUMBER,202,1)&lt;&gt;"",INDEX(OHZ_HAZ_TOTAMOUNT,202,1)&lt;&gt;"",INDEX(OHZ_HAZ_PACKINGGRO,202,1)&lt;&gt;"",INDEX(OHZ_HAZ_FLASHPOINT,202,1)&lt;&gt;"",INDEX(OHZ_HAZ_MARPOLCODE,202,1)&lt;&gt;"",INDEX(OHZ_HAZ_PACTYPE,202,1)&lt;&gt;"",INDEX(OHZ_HAZ_TOTALPACKA,202,1)&lt;&gt;"",INDEX(OHZ_HAZ_ADDITIONAL,202,1)&lt;&gt;"",INDEX(OHZ_HAZ_EMS,202,1)&lt;&gt;"",INDEX(OHZ_HAZ_SUBSIDIARY,202,1)&lt;&gt;"",INDEX(OHZ_HAZ_UNITTYPE,202,1)&lt;&gt;"",INDEX(OHZ_HAZ_TEUID,202,1)&lt;&gt;"",INDEX(OHZ_HAZ_LOCATION,202,1)&lt;&gt;"",INDEX(OHZ_HAZ_PACKAGES,202,1)&lt;&gt;"",INDEX(OHZ_HAZ_AMOUNT,202,1)&lt;&gt;"",),IF(OR(INDEX(OHZ_HAZ_DGCLASSIFI,202,1)="",INDEX(OHZ_HAZ_TEXTUALREF,202,1)="",INDEX(OHZ_HAZ_TOTAMOUNT,202,1)="",INDEX(OHZ_HAZ_DPGREF,202,1)="",INDEX(OHZ_HAZ_CONSIGNMENT,202,1)="",),FALSE,TRUE),TRUE)</f>
        <v>1</v>
      </c>
      <c r="K209" s="237" t="str">
        <f t="shared" si="8"/>
        <v>Row 202 - All mandatory fields must be given</v>
      </c>
      <c r="L209" s="236" t="s">
        <v>1853</v>
      </c>
      <c r="S209" s="52"/>
      <c r="T209" s="52" t="s">
        <v>2294</v>
      </c>
      <c r="V209" s="52"/>
    </row>
    <row r="210" spans="6:22">
      <c r="F210" s="236" t="s">
        <v>1853</v>
      </c>
      <c r="G210" s="250" t="b">
        <f>IF(OR(INDEX(IHZ_HAZ_CONSIGNMENT,203,1)&lt;&gt;"",INDEX(IHZ_HAZ_TRANSDOCID,203,1)&lt;&gt;"",INDEX(IHZ_HAZ_PORTOFLOADING,203,1)&lt;&gt;"",INDEX(IHZ_HAZ_PORTOFDISCHARGE,203,1)&lt;&gt;"",INDEX(IHZ_HAZ_DPGREF,203,1)&lt;&gt;"",INDEX(IHZ_HAZ_DGCLASSIFI,203,1)&lt;&gt;"",INDEX(IHZ_HAZ_TEXTUALREF,203,1)&lt;&gt;"",INDEX(IHZ_HAZ_IMOHAZARDC,203,1)&lt;&gt;"",INDEX(IHZ_HAZ_UNNUMBER,203,1)&lt;&gt;"",INDEX(IHZ_HAZ_TOTAMOUNT,203,1)&lt;&gt;"",INDEX(IHZ_HAZ_PACKINGGRO,203,1)&lt;&gt;"",INDEX(IHZ_HAZ_FLASHPOINT,203,1)&lt;&gt;"",INDEX(IHZ_HAZ_MARPOLCODE,203,1)&lt;&gt;"",INDEX(IHZ_HAZ_PACTYPE,203,1)&lt;&gt;"",INDEX(IHZ_HAZ_TOTALPACKA,203,1)&lt;&gt;"",INDEX(IHZ_HAZ_ADDITIONAL,203,1)&lt;&gt;"",INDEX(IHZ_HAZ_EMS,203,1)&lt;&gt;"",INDEX(IHZ_HAZ_SUBSIDIARY,203,1)&lt;&gt;"",INDEX(IHZ_HAZ_UNITTYPE,203,1)&lt;&gt;"",INDEX(IHZ_HAZ_TEUID,203,1)&lt;&gt;"",INDEX(IHZ_HAZ_LOCATION,203,1)&lt;&gt;"",INDEX(IHZ_HAZ_PACKAGES,203,1)&lt;&gt;"",INDEX(IHZ_HAZ_AMOUNT,203,1)&lt;&gt;"",),IF(OR(INDEX(IHZ_HAZ_DGCLASSIFI,203,1)="",INDEX(IHZ_HAZ_TEXTUALREF,203,1)="",INDEX(IHZ_HAZ_TOTAMOUNT,203,1)="",INDEX(IHZ_HAZ_DPGREF,203,1)="",INDEX(IHZ_HAZ_CONSIGNMENT,203,1)="",),FALSE,TRUE),TRUE)</f>
        <v>1</v>
      </c>
      <c r="H210" s="237" t="str">
        <f t="shared" si="7"/>
        <v>Row 203 - All mandatory fields must be given</v>
      </c>
      <c r="J210" s="52" t="b">
        <f>IF(OR(INDEX(OHZ_HAZ_CONSIGNMENT,203,1)&lt;&gt;"",INDEX(OHZ_HAZ_TRANSDOCID,203,1)&lt;&gt;"",INDEX(OHZ_HAZ_PORTOFLOADING,203,1)&lt;&gt;"",INDEX(OHZ_HAZ_PORTOFDISCHARGE,203,1)&lt;&gt;"",INDEX(OHZ_HAZ_DPGREF,203,1)&lt;&gt;"",INDEX(OHZ_HAZ_DGCLASSIFI,203,1)&lt;&gt;"",INDEX(OHZ_HAZ_TEXTUALREF,203,1)&lt;&gt;"",INDEX(OHZ_HAZ_IMOHAZARDC,203,1)&lt;&gt;"",INDEX(OHZ_HAZ_UNNUMBER,203,1)&lt;&gt;"",INDEX(OHZ_HAZ_TOTAMOUNT,203,1)&lt;&gt;"",INDEX(OHZ_HAZ_PACKINGGRO,203,1)&lt;&gt;"",INDEX(OHZ_HAZ_FLASHPOINT,203,1)&lt;&gt;"",INDEX(OHZ_HAZ_MARPOLCODE,203,1)&lt;&gt;"",INDEX(OHZ_HAZ_PACTYPE,203,1)&lt;&gt;"",INDEX(OHZ_HAZ_TOTALPACKA,203,1)&lt;&gt;"",INDEX(OHZ_HAZ_ADDITIONAL,203,1)&lt;&gt;"",INDEX(OHZ_HAZ_EMS,203,1)&lt;&gt;"",INDEX(OHZ_HAZ_SUBSIDIARY,203,1)&lt;&gt;"",INDEX(OHZ_HAZ_UNITTYPE,203,1)&lt;&gt;"",INDEX(OHZ_HAZ_TEUID,203,1)&lt;&gt;"",INDEX(OHZ_HAZ_LOCATION,203,1)&lt;&gt;"",INDEX(OHZ_HAZ_PACKAGES,203,1)&lt;&gt;"",INDEX(OHZ_HAZ_AMOUNT,203,1)&lt;&gt;"",),IF(OR(INDEX(OHZ_HAZ_DGCLASSIFI,203,1)="",INDEX(OHZ_HAZ_TEXTUALREF,203,1)="",INDEX(OHZ_HAZ_TOTAMOUNT,203,1)="",INDEX(OHZ_HAZ_DPGREF,203,1)="",INDEX(OHZ_HAZ_CONSIGNMENT,203,1)="",),FALSE,TRUE),TRUE)</f>
        <v>1</v>
      </c>
      <c r="K210" s="237" t="str">
        <f t="shared" si="8"/>
        <v>Row 203 - All mandatory fields must be given</v>
      </c>
      <c r="L210" s="236" t="s">
        <v>1853</v>
      </c>
      <c r="S210" s="52"/>
      <c r="T210" s="52" t="s">
        <v>2295</v>
      </c>
      <c r="V210" s="52"/>
    </row>
    <row r="211" spans="6:22">
      <c r="F211" s="236" t="s">
        <v>1853</v>
      </c>
      <c r="G211" s="250" t="b">
        <f>IF(OR(INDEX(IHZ_HAZ_CONSIGNMENT,204,1)&lt;&gt;"",INDEX(IHZ_HAZ_TRANSDOCID,204,1)&lt;&gt;"",INDEX(IHZ_HAZ_PORTOFLOADING,204,1)&lt;&gt;"",INDEX(IHZ_HAZ_PORTOFDISCHARGE,204,1)&lt;&gt;"",INDEX(IHZ_HAZ_DPGREF,204,1)&lt;&gt;"",INDEX(IHZ_HAZ_DGCLASSIFI,204,1)&lt;&gt;"",INDEX(IHZ_HAZ_TEXTUALREF,204,1)&lt;&gt;"",INDEX(IHZ_HAZ_IMOHAZARDC,204,1)&lt;&gt;"",INDEX(IHZ_HAZ_UNNUMBER,204,1)&lt;&gt;"",INDEX(IHZ_HAZ_TOTAMOUNT,204,1)&lt;&gt;"",INDEX(IHZ_HAZ_PACKINGGRO,204,1)&lt;&gt;"",INDEX(IHZ_HAZ_FLASHPOINT,204,1)&lt;&gt;"",INDEX(IHZ_HAZ_MARPOLCODE,204,1)&lt;&gt;"",INDEX(IHZ_HAZ_PACTYPE,204,1)&lt;&gt;"",INDEX(IHZ_HAZ_TOTALPACKA,204,1)&lt;&gt;"",INDEX(IHZ_HAZ_ADDITIONAL,204,1)&lt;&gt;"",INDEX(IHZ_HAZ_EMS,204,1)&lt;&gt;"",INDEX(IHZ_HAZ_SUBSIDIARY,204,1)&lt;&gt;"",INDEX(IHZ_HAZ_UNITTYPE,204,1)&lt;&gt;"",INDEX(IHZ_HAZ_TEUID,204,1)&lt;&gt;"",INDEX(IHZ_HAZ_LOCATION,204,1)&lt;&gt;"",INDEX(IHZ_HAZ_PACKAGES,204,1)&lt;&gt;"",INDEX(IHZ_HAZ_AMOUNT,204,1)&lt;&gt;"",),IF(OR(INDEX(IHZ_HAZ_DGCLASSIFI,204,1)="",INDEX(IHZ_HAZ_TEXTUALREF,204,1)="",INDEX(IHZ_HAZ_TOTAMOUNT,204,1)="",INDEX(IHZ_HAZ_DPGREF,204,1)="",INDEX(IHZ_HAZ_CONSIGNMENT,204,1)="",),FALSE,TRUE),TRUE)</f>
        <v>1</v>
      </c>
      <c r="H211" s="237" t="str">
        <f t="shared" si="7"/>
        <v>Row 204 - All mandatory fields must be given</v>
      </c>
      <c r="J211" s="52" t="b">
        <f>IF(OR(INDEX(OHZ_HAZ_CONSIGNMENT,204,1)&lt;&gt;"",INDEX(OHZ_HAZ_TRANSDOCID,204,1)&lt;&gt;"",INDEX(OHZ_HAZ_PORTOFLOADING,204,1)&lt;&gt;"",INDEX(OHZ_HAZ_PORTOFDISCHARGE,204,1)&lt;&gt;"",INDEX(OHZ_HAZ_DPGREF,204,1)&lt;&gt;"",INDEX(OHZ_HAZ_DGCLASSIFI,204,1)&lt;&gt;"",INDEX(OHZ_HAZ_TEXTUALREF,204,1)&lt;&gt;"",INDEX(OHZ_HAZ_IMOHAZARDC,204,1)&lt;&gt;"",INDEX(OHZ_HAZ_UNNUMBER,204,1)&lt;&gt;"",INDEX(OHZ_HAZ_TOTAMOUNT,204,1)&lt;&gt;"",INDEX(OHZ_HAZ_PACKINGGRO,204,1)&lt;&gt;"",INDEX(OHZ_HAZ_FLASHPOINT,204,1)&lt;&gt;"",INDEX(OHZ_HAZ_MARPOLCODE,204,1)&lt;&gt;"",INDEX(OHZ_HAZ_PACTYPE,204,1)&lt;&gt;"",INDEX(OHZ_HAZ_TOTALPACKA,204,1)&lt;&gt;"",INDEX(OHZ_HAZ_ADDITIONAL,204,1)&lt;&gt;"",INDEX(OHZ_HAZ_EMS,204,1)&lt;&gt;"",INDEX(OHZ_HAZ_SUBSIDIARY,204,1)&lt;&gt;"",INDEX(OHZ_HAZ_UNITTYPE,204,1)&lt;&gt;"",INDEX(OHZ_HAZ_TEUID,204,1)&lt;&gt;"",INDEX(OHZ_HAZ_LOCATION,204,1)&lt;&gt;"",INDEX(OHZ_HAZ_PACKAGES,204,1)&lt;&gt;"",INDEX(OHZ_HAZ_AMOUNT,204,1)&lt;&gt;"",),IF(OR(INDEX(OHZ_HAZ_DGCLASSIFI,204,1)="",INDEX(OHZ_HAZ_TEXTUALREF,204,1)="",INDEX(OHZ_HAZ_TOTAMOUNT,204,1)="",INDEX(OHZ_HAZ_DPGREF,204,1)="",INDEX(OHZ_HAZ_CONSIGNMENT,204,1)="",),FALSE,TRUE),TRUE)</f>
        <v>1</v>
      </c>
      <c r="K211" s="237" t="str">
        <f t="shared" si="8"/>
        <v>Row 204 - All mandatory fields must be given</v>
      </c>
      <c r="L211" s="236" t="s">
        <v>1853</v>
      </c>
      <c r="S211" s="52"/>
      <c r="T211" s="52" t="s">
        <v>2296</v>
      </c>
      <c r="V211" s="52"/>
    </row>
    <row r="212" spans="6:22">
      <c r="F212" s="236" t="s">
        <v>1853</v>
      </c>
      <c r="G212" s="250" t="b">
        <f>IF(OR(INDEX(IHZ_HAZ_CONSIGNMENT,205,1)&lt;&gt;"",INDEX(IHZ_HAZ_TRANSDOCID,205,1)&lt;&gt;"",INDEX(IHZ_HAZ_PORTOFLOADING,205,1)&lt;&gt;"",INDEX(IHZ_HAZ_PORTOFDISCHARGE,205,1)&lt;&gt;"",INDEX(IHZ_HAZ_DPGREF,205,1)&lt;&gt;"",INDEX(IHZ_HAZ_DGCLASSIFI,205,1)&lt;&gt;"",INDEX(IHZ_HAZ_TEXTUALREF,205,1)&lt;&gt;"",INDEX(IHZ_HAZ_IMOHAZARDC,205,1)&lt;&gt;"",INDEX(IHZ_HAZ_UNNUMBER,205,1)&lt;&gt;"",INDEX(IHZ_HAZ_TOTAMOUNT,205,1)&lt;&gt;"",INDEX(IHZ_HAZ_PACKINGGRO,205,1)&lt;&gt;"",INDEX(IHZ_HAZ_FLASHPOINT,205,1)&lt;&gt;"",INDEX(IHZ_HAZ_MARPOLCODE,205,1)&lt;&gt;"",INDEX(IHZ_HAZ_PACTYPE,205,1)&lt;&gt;"",INDEX(IHZ_HAZ_TOTALPACKA,205,1)&lt;&gt;"",INDEX(IHZ_HAZ_ADDITIONAL,205,1)&lt;&gt;"",INDEX(IHZ_HAZ_EMS,205,1)&lt;&gt;"",INDEX(IHZ_HAZ_SUBSIDIARY,205,1)&lt;&gt;"",INDEX(IHZ_HAZ_UNITTYPE,205,1)&lt;&gt;"",INDEX(IHZ_HAZ_TEUID,205,1)&lt;&gt;"",INDEX(IHZ_HAZ_LOCATION,205,1)&lt;&gt;"",INDEX(IHZ_HAZ_PACKAGES,205,1)&lt;&gt;"",INDEX(IHZ_HAZ_AMOUNT,205,1)&lt;&gt;"",),IF(OR(INDEX(IHZ_HAZ_DGCLASSIFI,205,1)="",INDEX(IHZ_HAZ_TEXTUALREF,205,1)="",INDEX(IHZ_HAZ_TOTAMOUNT,205,1)="",INDEX(IHZ_HAZ_DPGREF,205,1)="",INDEX(IHZ_HAZ_CONSIGNMENT,205,1)="",),FALSE,TRUE),TRUE)</f>
        <v>1</v>
      </c>
      <c r="H212" s="237" t="str">
        <f t="shared" si="7"/>
        <v>Row 205 - All mandatory fields must be given</v>
      </c>
      <c r="J212" s="52" t="b">
        <f>IF(OR(INDEX(OHZ_HAZ_CONSIGNMENT,205,1)&lt;&gt;"",INDEX(OHZ_HAZ_TRANSDOCID,205,1)&lt;&gt;"",INDEX(OHZ_HAZ_PORTOFLOADING,205,1)&lt;&gt;"",INDEX(OHZ_HAZ_PORTOFDISCHARGE,205,1)&lt;&gt;"",INDEX(OHZ_HAZ_DPGREF,205,1)&lt;&gt;"",INDEX(OHZ_HAZ_DGCLASSIFI,205,1)&lt;&gt;"",INDEX(OHZ_HAZ_TEXTUALREF,205,1)&lt;&gt;"",INDEX(OHZ_HAZ_IMOHAZARDC,205,1)&lt;&gt;"",INDEX(OHZ_HAZ_UNNUMBER,205,1)&lt;&gt;"",INDEX(OHZ_HAZ_TOTAMOUNT,205,1)&lt;&gt;"",INDEX(OHZ_HAZ_PACKINGGRO,205,1)&lt;&gt;"",INDEX(OHZ_HAZ_FLASHPOINT,205,1)&lt;&gt;"",INDEX(OHZ_HAZ_MARPOLCODE,205,1)&lt;&gt;"",INDEX(OHZ_HAZ_PACTYPE,205,1)&lt;&gt;"",INDEX(OHZ_HAZ_TOTALPACKA,205,1)&lt;&gt;"",INDEX(OHZ_HAZ_ADDITIONAL,205,1)&lt;&gt;"",INDEX(OHZ_HAZ_EMS,205,1)&lt;&gt;"",INDEX(OHZ_HAZ_SUBSIDIARY,205,1)&lt;&gt;"",INDEX(OHZ_HAZ_UNITTYPE,205,1)&lt;&gt;"",INDEX(OHZ_HAZ_TEUID,205,1)&lt;&gt;"",INDEX(OHZ_HAZ_LOCATION,205,1)&lt;&gt;"",INDEX(OHZ_HAZ_PACKAGES,205,1)&lt;&gt;"",INDEX(OHZ_HAZ_AMOUNT,205,1)&lt;&gt;"",),IF(OR(INDEX(OHZ_HAZ_DGCLASSIFI,205,1)="",INDEX(OHZ_HAZ_TEXTUALREF,205,1)="",INDEX(OHZ_HAZ_TOTAMOUNT,205,1)="",INDEX(OHZ_HAZ_DPGREF,205,1)="",INDEX(OHZ_HAZ_CONSIGNMENT,205,1)="",),FALSE,TRUE),TRUE)</f>
        <v>1</v>
      </c>
      <c r="K212" s="237" t="str">
        <f t="shared" si="8"/>
        <v>Row 205 - All mandatory fields must be given</v>
      </c>
      <c r="L212" s="236" t="s">
        <v>1853</v>
      </c>
      <c r="S212" s="52"/>
      <c r="T212" s="52" t="s">
        <v>2297</v>
      </c>
      <c r="V212" s="52"/>
    </row>
    <row r="213" spans="6:22">
      <c r="F213" s="236" t="s">
        <v>1853</v>
      </c>
      <c r="G213" s="250" t="b">
        <f>IF(OR(INDEX(IHZ_HAZ_CONSIGNMENT,206,1)&lt;&gt;"",INDEX(IHZ_HAZ_TRANSDOCID,206,1)&lt;&gt;"",INDEX(IHZ_HAZ_PORTOFLOADING,206,1)&lt;&gt;"",INDEX(IHZ_HAZ_PORTOFDISCHARGE,206,1)&lt;&gt;"",INDEX(IHZ_HAZ_DPGREF,206,1)&lt;&gt;"",INDEX(IHZ_HAZ_DGCLASSIFI,206,1)&lt;&gt;"",INDEX(IHZ_HAZ_TEXTUALREF,206,1)&lt;&gt;"",INDEX(IHZ_HAZ_IMOHAZARDC,206,1)&lt;&gt;"",INDEX(IHZ_HAZ_UNNUMBER,206,1)&lt;&gt;"",INDEX(IHZ_HAZ_TOTAMOUNT,206,1)&lt;&gt;"",INDEX(IHZ_HAZ_PACKINGGRO,206,1)&lt;&gt;"",INDEX(IHZ_HAZ_FLASHPOINT,206,1)&lt;&gt;"",INDEX(IHZ_HAZ_MARPOLCODE,206,1)&lt;&gt;"",INDEX(IHZ_HAZ_PACTYPE,206,1)&lt;&gt;"",INDEX(IHZ_HAZ_TOTALPACKA,206,1)&lt;&gt;"",INDEX(IHZ_HAZ_ADDITIONAL,206,1)&lt;&gt;"",INDEX(IHZ_HAZ_EMS,206,1)&lt;&gt;"",INDEX(IHZ_HAZ_SUBSIDIARY,206,1)&lt;&gt;"",INDEX(IHZ_HAZ_UNITTYPE,206,1)&lt;&gt;"",INDEX(IHZ_HAZ_TEUID,206,1)&lt;&gt;"",INDEX(IHZ_HAZ_LOCATION,206,1)&lt;&gt;"",INDEX(IHZ_HAZ_PACKAGES,206,1)&lt;&gt;"",INDEX(IHZ_HAZ_AMOUNT,206,1)&lt;&gt;"",),IF(OR(INDEX(IHZ_HAZ_DGCLASSIFI,206,1)="",INDEX(IHZ_HAZ_TEXTUALREF,206,1)="",INDEX(IHZ_HAZ_TOTAMOUNT,206,1)="",INDEX(IHZ_HAZ_DPGREF,206,1)="",INDEX(IHZ_HAZ_CONSIGNMENT,206,1)="",),FALSE,TRUE),TRUE)</f>
        <v>1</v>
      </c>
      <c r="H213" s="237" t="str">
        <f t="shared" si="7"/>
        <v>Row 206 - All mandatory fields must be given</v>
      </c>
      <c r="J213" s="52" t="b">
        <f>IF(OR(INDEX(OHZ_HAZ_CONSIGNMENT,206,1)&lt;&gt;"",INDEX(OHZ_HAZ_TRANSDOCID,206,1)&lt;&gt;"",INDEX(OHZ_HAZ_PORTOFLOADING,206,1)&lt;&gt;"",INDEX(OHZ_HAZ_PORTOFDISCHARGE,206,1)&lt;&gt;"",INDEX(OHZ_HAZ_DPGREF,206,1)&lt;&gt;"",INDEX(OHZ_HAZ_DGCLASSIFI,206,1)&lt;&gt;"",INDEX(OHZ_HAZ_TEXTUALREF,206,1)&lt;&gt;"",INDEX(OHZ_HAZ_IMOHAZARDC,206,1)&lt;&gt;"",INDEX(OHZ_HAZ_UNNUMBER,206,1)&lt;&gt;"",INDEX(OHZ_HAZ_TOTAMOUNT,206,1)&lt;&gt;"",INDEX(OHZ_HAZ_PACKINGGRO,206,1)&lt;&gt;"",INDEX(OHZ_HAZ_FLASHPOINT,206,1)&lt;&gt;"",INDEX(OHZ_HAZ_MARPOLCODE,206,1)&lt;&gt;"",INDEX(OHZ_HAZ_PACTYPE,206,1)&lt;&gt;"",INDEX(OHZ_HAZ_TOTALPACKA,206,1)&lt;&gt;"",INDEX(OHZ_HAZ_ADDITIONAL,206,1)&lt;&gt;"",INDEX(OHZ_HAZ_EMS,206,1)&lt;&gt;"",INDEX(OHZ_HAZ_SUBSIDIARY,206,1)&lt;&gt;"",INDEX(OHZ_HAZ_UNITTYPE,206,1)&lt;&gt;"",INDEX(OHZ_HAZ_TEUID,206,1)&lt;&gt;"",INDEX(OHZ_HAZ_LOCATION,206,1)&lt;&gt;"",INDEX(OHZ_HAZ_PACKAGES,206,1)&lt;&gt;"",INDEX(OHZ_HAZ_AMOUNT,206,1)&lt;&gt;"",),IF(OR(INDEX(OHZ_HAZ_DGCLASSIFI,206,1)="",INDEX(OHZ_HAZ_TEXTUALREF,206,1)="",INDEX(OHZ_HAZ_TOTAMOUNT,206,1)="",INDEX(OHZ_HAZ_DPGREF,206,1)="",INDEX(OHZ_HAZ_CONSIGNMENT,206,1)="",),FALSE,TRUE),TRUE)</f>
        <v>1</v>
      </c>
      <c r="K213" s="237" t="str">
        <f t="shared" si="8"/>
        <v>Row 206 - All mandatory fields must be given</v>
      </c>
      <c r="L213" s="236" t="s">
        <v>1853</v>
      </c>
      <c r="S213" s="52"/>
      <c r="T213" s="52" t="s">
        <v>2298</v>
      </c>
      <c r="V213" s="52"/>
    </row>
    <row r="214" spans="6:22">
      <c r="F214" s="236" t="s">
        <v>1853</v>
      </c>
      <c r="G214" s="250" t="b">
        <f>IF(OR(INDEX(IHZ_HAZ_CONSIGNMENT,207,1)&lt;&gt;"",INDEX(IHZ_HAZ_TRANSDOCID,207,1)&lt;&gt;"",INDEX(IHZ_HAZ_PORTOFLOADING,207,1)&lt;&gt;"",INDEX(IHZ_HAZ_PORTOFDISCHARGE,207,1)&lt;&gt;"",INDEX(IHZ_HAZ_DPGREF,207,1)&lt;&gt;"",INDEX(IHZ_HAZ_DGCLASSIFI,207,1)&lt;&gt;"",INDEX(IHZ_HAZ_TEXTUALREF,207,1)&lt;&gt;"",INDEX(IHZ_HAZ_IMOHAZARDC,207,1)&lt;&gt;"",INDEX(IHZ_HAZ_UNNUMBER,207,1)&lt;&gt;"",INDEX(IHZ_HAZ_TOTAMOUNT,207,1)&lt;&gt;"",INDEX(IHZ_HAZ_PACKINGGRO,207,1)&lt;&gt;"",INDEX(IHZ_HAZ_FLASHPOINT,207,1)&lt;&gt;"",INDEX(IHZ_HAZ_MARPOLCODE,207,1)&lt;&gt;"",INDEX(IHZ_HAZ_PACTYPE,207,1)&lt;&gt;"",INDEX(IHZ_HAZ_TOTALPACKA,207,1)&lt;&gt;"",INDEX(IHZ_HAZ_ADDITIONAL,207,1)&lt;&gt;"",INDEX(IHZ_HAZ_EMS,207,1)&lt;&gt;"",INDEX(IHZ_HAZ_SUBSIDIARY,207,1)&lt;&gt;"",INDEX(IHZ_HAZ_UNITTYPE,207,1)&lt;&gt;"",INDEX(IHZ_HAZ_TEUID,207,1)&lt;&gt;"",INDEX(IHZ_HAZ_LOCATION,207,1)&lt;&gt;"",INDEX(IHZ_HAZ_PACKAGES,207,1)&lt;&gt;"",INDEX(IHZ_HAZ_AMOUNT,207,1)&lt;&gt;"",),IF(OR(INDEX(IHZ_HAZ_DGCLASSIFI,207,1)="",INDEX(IHZ_HAZ_TEXTUALREF,207,1)="",INDEX(IHZ_HAZ_TOTAMOUNT,207,1)="",INDEX(IHZ_HAZ_DPGREF,207,1)="",INDEX(IHZ_HAZ_CONSIGNMENT,207,1)="",),FALSE,TRUE),TRUE)</f>
        <v>1</v>
      </c>
      <c r="H214" s="237" t="str">
        <f t="shared" si="7"/>
        <v>Row 207 - All mandatory fields must be given</v>
      </c>
      <c r="J214" s="52" t="b">
        <f>IF(OR(INDEX(OHZ_HAZ_CONSIGNMENT,207,1)&lt;&gt;"",INDEX(OHZ_HAZ_TRANSDOCID,207,1)&lt;&gt;"",INDEX(OHZ_HAZ_PORTOFLOADING,207,1)&lt;&gt;"",INDEX(OHZ_HAZ_PORTOFDISCHARGE,207,1)&lt;&gt;"",INDEX(OHZ_HAZ_DPGREF,207,1)&lt;&gt;"",INDEX(OHZ_HAZ_DGCLASSIFI,207,1)&lt;&gt;"",INDEX(OHZ_HAZ_TEXTUALREF,207,1)&lt;&gt;"",INDEX(OHZ_HAZ_IMOHAZARDC,207,1)&lt;&gt;"",INDEX(OHZ_HAZ_UNNUMBER,207,1)&lt;&gt;"",INDEX(OHZ_HAZ_TOTAMOUNT,207,1)&lt;&gt;"",INDEX(OHZ_HAZ_PACKINGGRO,207,1)&lt;&gt;"",INDEX(OHZ_HAZ_FLASHPOINT,207,1)&lt;&gt;"",INDEX(OHZ_HAZ_MARPOLCODE,207,1)&lt;&gt;"",INDEX(OHZ_HAZ_PACTYPE,207,1)&lt;&gt;"",INDEX(OHZ_HAZ_TOTALPACKA,207,1)&lt;&gt;"",INDEX(OHZ_HAZ_ADDITIONAL,207,1)&lt;&gt;"",INDEX(OHZ_HAZ_EMS,207,1)&lt;&gt;"",INDEX(OHZ_HAZ_SUBSIDIARY,207,1)&lt;&gt;"",INDEX(OHZ_HAZ_UNITTYPE,207,1)&lt;&gt;"",INDEX(OHZ_HAZ_TEUID,207,1)&lt;&gt;"",INDEX(OHZ_HAZ_LOCATION,207,1)&lt;&gt;"",INDEX(OHZ_HAZ_PACKAGES,207,1)&lt;&gt;"",INDEX(OHZ_HAZ_AMOUNT,207,1)&lt;&gt;"",),IF(OR(INDEX(OHZ_HAZ_DGCLASSIFI,207,1)="",INDEX(OHZ_HAZ_TEXTUALREF,207,1)="",INDEX(OHZ_HAZ_TOTAMOUNT,207,1)="",INDEX(OHZ_HAZ_DPGREF,207,1)="",INDEX(OHZ_HAZ_CONSIGNMENT,207,1)="",),FALSE,TRUE),TRUE)</f>
        <v>1</v>
      </c>
      <c r="K214" s="237" t="str">
        <f t="shared" si="8"/>
        <v>Row 207 - All mandatory fields must be given</v>
      </c>
      <c r="L214" s="236" t="s">
        <v>1853</v>
      </c>
      <c r="S214" s="52"/>
      <c r="T214" s="52" t="s">
        <v>2299</v>
      </c>
      <c r="V214" s="52"/>
    </row>
    <row r="215" spans="6:22">
      <c r="F215" s="236" t="s">
        <v>1853</v>
      </c>
      <c r="G215" s="250" t="b">
        <f>IF(OR(INDEX(IHZ_HAZ_CONSIGNMENT,208,1)&lt;&gt;"",INDEX(IHZ_HAZ_TRANSDOCID,208,1)&lt;&gt;"",INDEX(IHZ_HAZ_PORTOFLOADING,208,1)&lt;&gt;"",INDEX(IHZ_HAZ_PORTOFDISCHARGE,208,1)&lt;&gt;"",INDEX(IHZ_HAZ_DPGREF,208,1)&lt;&gt;"",INDEX(IHZ_HAZ_DGCLASSIFI,208,1)&lt;&gt;"",INDEX(IHZ_HAZ_TEXTUALREF,208,1)&lt;&gt;"",INDEX(IHZ_HAZ_IMOHAZARDC,208,1)&lt;&gt;"",INDEX(IHZ_HAZ_UNNUMBER,208,1)&lt;&gt;"",INDEX(IHZ_HAZ_TOTAMOUNT,208,1)&lt;&gt;"",INDEX(IHZ_HAZ_PACKINGGRO,208,1)&lt;&gt;"",INDEX(IHZ_HAZ_FLASHPOINT,208,1)&lt;&gt;"",INDEX(IHZ_HAZ_MARPOLCODE,208,1)&lt;&gt;"",INDEX(IHZ_HAZ_PACTYPE,208,1)&lt;&gt;"",INDEX(IHZ_HAZ_TOTALPACKA,208,1)&lt;&gt;"",INDEX(IHZ_HAZ_ADDITIONAL,208,1)&lt;&gt;"",INDEX(IHZ_HAZ_EMS,208,1)&lt;&gt;"",INDEX(IHZ_HAZ_SUBSIDIARY,208,1)&lt;&gt;"",INDEX(IHZ_HAZ_UNITTYPE,208,1)&lt;&gt;"",INDEX(IHZ_HAZ_TEUID,208,1)&lt;&gt;"",INDEX(IHZ_HAZ_LOCATION,208,1)&lt;&gt;"",INDEX(IHZ_HAZ_PACKAGES,208,1)&lt;&gt;"",INDEX(IHZ_HAZ_AMOUNT,208,1)&lt;&gt;"",),IF(OR(INDEX(IHZ_HAZ_DGCLASSIFI,208,1)="",INDEX(IHZ_HAZ_TEXTUALREF,208,1)="",INDEX(IHZ_HAZ_TOTAMOUNT,208,1)="",INDEX(IHZ_HAZ_DPGREF,208,1)="",INDEX(IHZ_HAZ_CONSIGNMENT,208,1)="",),FALSE,TRUE),TRUE)</f>
        <v>1</v>
      </c>
      <c r="H215" s="237" t="str">
        <f t="shared" si="7"/>
        <v>Row 208 - All mandatory fields must be given</v>
      </c>
      <c r="J215" s="52" t="b">
        <f>IF(OR(INDEX(OHZ_HAZ_CONSIGNMENT,208,1)&lt;&gt;"",INDEX(OHZ_HAZ_TRANSDOCID,208,1)&lt;&gt;"",INDEX(OHZ_HAZ_PORTOFLOADING,208,1)&lt;&gt;"",INDEX(OHZ_HAZ_PORTOFDISCHARGE,208,1)&lt;&gt;"",INDEX(OHZ_HAZ_DPGREF,208,1)&lt;&gt;"",INDEX(OHZ_HAZ_DGCLASSIFI,208,1)&lt;&gt;"",INDEX(OHZ_HAZ_TEXTUALREF,208,1)&lt;&gt;"",INDEX(OHZ_HAZ_IMOHAZARDC,208,1)&lt;&gt;"",INDEX(OHZ_HAZ_UNNUMBER,208,1)&lt;&gt;"",INDEX(OHZ_HAZ_TOTAMOUNT,208,1)&lt;&gt;"",INDEX(OHZ_HAZ_PACKINGGRO,208,1)&lt;&gt;"",INDEX(OHZ_HAZ_FLASHPOINT,208,1)&lt;&gt;"",INDEX(OHZ_HAZ_MARPOLCODE,208,1)&lt;&gt;"",INDEX(OHZ_HAZ_PACTYPE,208,1)&lt;&gt;"",INDEX(OHZ_HAZ_TOTALPACKA,208,1)&lt;&gt;"",INDEX(OHZ_HAZ_ADDITIONAL,208,1)&lt;&gt;"",INDEX(OHZ_HAZ_EMS,208,1)&lt;&gt;"",INDEX(OHZ_HAZ_SUBSIDIARY,208,1)&lt;&gt;"",INDEX(OHZ_HAZ_UNITTYPE,208,1)&lt;&gt;"",INDEX(OHZ_HAZ_TEUID,208,1)&lt;&gt;"",INDEX(OHZ_HAZ_LOCATION,208,1)&lt;&gt;"",INDEX(OHZ_HAZ_PACKAGES,208,1)&lt;&gt;"",INDEX(OHZ_HAZ_AMOUNT,208,1)&lt;&gt;"",),IF(OR(INDEX(OHZ_HAZ_DGCLASSIFI,208,1)="",INDEX(OHZ_HAZ_TEXTUALREF,208,1)="",INDEX(OHZ_HAZ_TOTAMOUNT,208,1)="",INDEX(OHZ_HAZ_DPGREF,208,1)="",INDEX(OHZ_HAZ_CONSIGNMENT,208,1)="",),FALSE,TRUE),TRUE)</f>
        <v>1</v>
      </c>
      <c r="K215" s="237" t="str">
        <f t="shared" si="8"/>
        <v>Row 208 - All mandatory fields must be given</v>
      </c>
      <c r="L215" s="236" t="s">
        <v>1853</v>
      </c>
      <c r="S215" s="52"/>
      <c r="T215" s="52" t="s">
        <v>2300</v>
      </c>
      <c r="V215" s="52"/>
    </row>
    <row r="216" spans="6:22">
      <c r="F216" s="236" t="s">
        <v>1853</v>
      </c>
      <c r="G216" s="250" t="b">
        <f>IF(OR(INDEX(IHZ_HAZ_CONSIGNMENT,209,1)&lt;&gt;"",INDEX(IHZ_HAZ_TRANSDOCID,209,1)&lt;&gt;"",INDEX(IHZ_HAZ_PORTOFLOADING,209,1)&lt;&gt;"",INDEX(IHZ_HAZ_PORTOFDISCHARGE,209,1)&lt;&gt;"",INDEX(IHZ_HAZ_DPGREF,209,1)&lt;&gt;"",INDEX(IHZ_HAZ_DGCLASSIFI,209,1)&lt;&gt;"",INDEX(IHZ_HAZ_TEXTUALREF,209,1)&lt;&gt;"",INDEX(IHZ_HAZ_IMOHAZARDC,209,1)&lt;&gt;"",INDEX(IHZ_HAZ_UNNUMBER,209,1)&lt;&gt;"",INDEX(IHZ_HAZ_TOTAMOUNT,209,1)&lt;&gt;"",INDEX(IHZ_HAZ_PACKINGGRO,209,1)&lt;&gt;"",INDEX(IHZ_HAZ_FLASHPOINT,209,1)&lt;&gt;"",INDEX(IHZ_HAZ_MARPOLCODE,209,1)&lt;&gt;"",INDEX(IHZ_HAZ_PACTYPE,209,1)&lt;&gt;"",INDEX(IHZ_HAZ_TOTALPACKA,209,1)&lt;&gt;"",INDEX(IHZ_HAZ_ADDITIONAL,209,1)&lt;&gt;"",INDEX(IHZ_HAZ_EMS,209,1)&lt;&gt;"",INDEX(IHZ_HAZ_SUBSIDIARY,209,1)&lt;&gt;"",INDEX(IHZ_HAZ_UNITTYPE,209,1)&lt;&gt;"",INDEX(IHZ_HAZ_TEUID,209,1)&lt;&gt;"",INDEX(IHZ_HAZ_LOCATION,209,1)&lt;&gt;"",INDEX(IHZ_HAZ_PACKAGES,209,1)&lt;&gt;"",INDEX(IHZ_HAZ_AMOUNT,209,1)&lt;&gt;"",),IF(OR(INDEX(IHZ_HAZ_DGCLASSIFI,209,1)="",INDEX(IHZ_HAZ_TEXTUALREF,209,1)="",INDEX(IHZ_HAZ_TOTAMOUNT,209,1)="",INDEX(IHZ_HAZ_DPGREF,209,1)="",INDEX(IHZ_HAZ_CONSIGNMENT,209,1)="",),FALSE,TRUE),TRUE)</f>
        <v>1</v>
      </c>
      <c r="H216" s="237" t="str">
        <f t="shared" si="7"/>
        <v>Row 209 - All mandatory fields must be given</v>
      </c>
      <c r="J216" s="52" t="b">
        <f>IF(OR(INDEX(OHZ_HAZ_CONSIGNMENT,209,1)&lt;&gt;"",INDEX(OHZ_HAZ_TRANSDOCID,209,1)&lt;&gt;"",INDEX(OHZ_HAZ_PORTOFLOADING,209,1)&lt;&gt;"",INDEX(OHZ_HAZ_PORTOFDISCHARGE,209,1)&lt;&gt;"",INDEX(OHZ_HAZ_DPGREF,209,1)&lt;&gt;"",INDEX(OHZ_HAZ_DGCLASSIFI,209,1)&lt;&gt;"",INDEX(OHZ_HAZ_TEXTUALREF,209,1)&lt;&gt;"",INDEX(OHZ_HAZ_IMOHAZARDC,209,1)&lt;&gt;"",INDEX(OHZ_HAZ_UNNUMBER,209,1)&lt;&gt;"",INDEX(OHZ_HAZ_TOTAMOUNT,209,1)&lt;&gt;"",INDEX(OHZ_HAZ_PACKINGGRO,209,1)&lt;&gt;"",INDEX(OHZ_HAZ_FLASHPOINT,209,1)&lt;&gt;"",INDEX(OHZ_HAZ_MARPOLCODE,209,1)&lt;&gt;"",INDEX(OHZ_HAZ_PACTYPE,209,1)&lt;&gt;"",INDEX(OHZ_HAZ_TOTALPACKA,209,1)&lt;&gt;"",INDEX(OHZ_HAZ_ADDITIONAL,209,1)&lt;&gt;"",INDEX(OHZ_HAZ_EMS,209,1)&lt;&gt;"",INDEX(OHZ_HAZ_SUBSIDIARY,209,1)&lt;&gt;"",INDEX(OHZ_HAZ_UNITTYPE,209,1)&lt;&gt;"",INDEX(OHZ_HAZ_TEUID,209,1)&lt;&gt;"",INDEX(OHZ_HAZ_LOCATION,209,1)&lt;&gt;"",INDEX(OHZ_HAZ_PACKAGES,209,1)&lt;&gt;"",INDEX(OHZ_HAZ_AMOUNT,209,1)&lt;&gt;"",),IF(OR(INDEX(OHZ_HAZ_DGCLASSIFI,209,1)="",INDEX(OHZ_HAZ_TEXTUALREF,209,1)="",INDEX(OHZ_HAZ_TOTAMOUNT,209,1)="",INDEX(OHZ_HAZ_DPGREF,209,1)="",INDEX(OHZ_HAZ_CONSIGNMENT,209,1)="",),FALSE,TRUE),TRUE)</f>
        <v>1</v>
      </c>
      <c r="K216" s="237" t="str">
        <f t="shared" si="8"/>
        <v>Row 209 - All mandatory fields must be given</v>
      </c>
      <c r="L216" s="236" t="s">
        <v>1853</v>
      </c>
      <c r="S216" s="52"/>
      <c r="T216" s="52" t="s">
        <v>2301</v>
      </c>
      <c r="V216" s="52"/>
    </row>
    <row r="217" spans="6:22">
      <c r="F217" s="236" t="s">
        <v>1853</v>
      </c>
      <c r="G217" s="250" t="b">
        <f>IF(OR(INDEX(IHZ_HAZ_CONSIGNMENT,210,1)&lt;&gt;"",INDEX(IHZ_HAZ_TRANSDOCID,210,1)&lt;&gt;"",INDEX(IHZ_HAZ_PORTOFLOADING,210,1)&lt;&gt;"",INDEX(IHZ_HAZ_PORTOFDISCHARGE,210,1)&lt;&gt;"",INDEX(IHZ_HAZ_DPGREF,210,1)&lt;&gt;"",INDEX(IHZ_HAZ_DGCLASSIFI,210,1)&lt;&gt;"",INDEX(IHZ_HAZ_TEXTUALREF,210,1)&lt;&gt;"",INDEX(IHZ_HAZ_IMOHAZARDC,210,1)&lt;&gt;"",INDEX(IHZ_HAZ_UNNUMBER,210,1)&lt;&gt;"",INDEX(IHZ_HAZ_TOTAMOUNT,210,1)&lt;&gt;"",INDEX(IHZ_HAZ_PACKINGGRO,210,1)&lt;&gt;"",INDEX(IHZ_HAZ_FLASHPOINT,210,1)&lt;&gt;"",INDEX(IHZ_HAZ_MARPOLCODE,210,1)&lt;&gt;"",INDEX(IHZ_HAZ_PACTYPE,210,1)&lt;&gt;"",INDEX(IHZ_HAZ_TOTALPACKA,210,1)&lt;&gt;"",INDEX(IHZ_HAZ_ADDITIONAL,210,1)&lt;&gt;"",INDEX(IHZ_HAZ_EMS,210,1)&lt;&gt;"",INDEX(IHZ_HAZ_SUBSIDIARY,210,1)&lt;&gt;"",INDEX(IHZ_HAZ_UNITTYPE,210,1)&lt;&gt;"",INDEX(IHZ_HAZ_TEUID,210,1)&lt;&gt;"",INDEX(IHZ_HAZ_LOCATION,210,1)&lt;&gt;"",INDEX(IHZ_HAZ_PACKAGES,210,1)&lt;&gt;"",INDEX(IHZ_HAZ_AMOUNT,210,1)&lt;&gt;"",),IF(OR(INDEX(IHZ_HAZ_DGCLASSIFI,210,1)="",INDEX(IHZ_HAZ_TEXTUALREF,210,1)="",INDEX(IHZ_HAZ_TOTAMOUNT,210,1)="",INDEX(IHZ_HAZ_DPGREF,210,1)="",INDEX(IHZ_HAZ_CONSIGNMENT,210,1)="",),FALSE,TRUE),TRUE)</f>
        <v>1</v>
      </c>
      <c r="H217" s="237" t="str">
        <f t="shared" si="7"/>
        <v>Row 210 - All mandatory fields must be given</v>
      </c>
      <c r="J217" s="52" t="b">
        <f>IF(OR(INDEX(OHZ_HAZ_CONSIGNMENT,210,1)&lt;&gt;"",INDEX(OHZ_HAZ_TRANSDOCID,210,1)&lt;&gt;"",INDEX(OHZ_HAZ_PORTOFLOADING,210,1)&lt;&gt;"",INDEX(OHZ_HAZ_PORTOFDISCHARGE,210,1)&lt;&gt;"",INDEX(OHZ_HAZ_DPGREF,210,1)&lt;&gt;"",INDEX(OHZ_HAZ_DGCLASSIFI,210,1)&lt;&gt;"",INDEX(OHZ_HAZ_TEXTUALREF,210,1)&lt;&gt;"",INDEX(OHZ_HAZ_IMOHAZARDC,210,1)&lt;&gt;"",INDEX(OHZ_HAZ_UNNUMBER,210,1)&lt;&gt;"",INDEX(OHZ_HAZ_TOTAMOUNT,210,1)&lt;&gt;"",INDEX(OHZ_HAZ_PACKINGGRO,210,1)&lt;&gt;"",INDEX(OHZ_HAZ_FLASHPOINT,210,1)&lt;&gt;"",INDEX(OHZ_HAZ_MARPOLCODE,210,1)&lt;&gt;"",INDEX(OHZ_HAZ_PACTYPE,210,1)&lt;&gt;"",INDEX(OHZ_HAZ_TOTALPACKA,210,1)&lt;&gt;"",INDEX(OHZ_HAZ_ADDITIONAL,210,1)&lt;&gt;"",INDEX(OHZ_HAZ_EMS,210,1)&lt;&gt;"",INDEX(OHZ_HAZ_SUBSIDIARY,210,1)&lt;&gt;"",INDEX(OHZ_HAZ_UNITTYPE,210,1)&lt;&gt;"",INDEX(OHZ_HAZ_TEUID,210,1)&lt;&gt;"",INDEX(OHZ_HAZ_LOCATION,210,1)&lt;&gt;"",INDEX(OHZ_HAZ_PACKAGES,210,1)&lt;&gt;"",INDEX(OHZ_HAZ_AMOUNT,210,1)&lt;&gt;"",),IF(OR(INDEX(OHZ_HAZ_DGCLASSIFI,210,1)="",INDEX(OHZ_HAZ_TEXTUALREF,210,1)="",INDEX(OHZ_HAZ_TOTAMOUNT,210,1)="",INDEX(OHZ_HAZ_DPGREF,210,1)="",INDEX(OHZ_HAZ_CONSIGNMENT,210,1)="",),FALSE,TRUE),TRUE)</f>
        <v>1</v>
      </c>
      <c r="K217" s="237" t="str">
        <f t="shared" si="8"/>
        <v>Row 210 - All mandatory fields must be given</v>
      </c>
      <c r="L217" s="236" t="s">
        <v>1853</v>
      </c>
      <c r="S217" s="52"/>
      <c r="T217" s="52" t="s">
        <v>2302</v>
      </c>
      <c r="V217" s="52"/>
    </row>
    <row r="218" spans="6:22">
      <c r="F218" s="236" t="s">
        <v>1853</v>
      </c>
      <c r="G218" s="250" t="b">
        <f>IF(OR(INDEX(IHZ_HAZ_CONSIGNMENT,211,1)&lt;&gt;"",INDEX(IHZ_HAZ_TRANSDOCID,211,1)&lt;&gt;"",INDEX(IHZ_HAZ_PORTOFLOADING,211,1)&lt;&gt;"",INDEX(IHZ_HAZ_PORTOFDISCHARGE,211,1)&lt;&gt;"",INDEX(IHZ_HAZ_DPGREF,211,1)&lt;&gt;"",INDEX(IHZ_HAZ_DGCLASSIFI,211,1)&lt;&gt;"",INDEX(IHZ_HAZ_TEXTUALREF,211,1)&lt;&gt;"",INDEX(IHZ_HAZ_IMOHAZARDC,211,1)&lt;&gt;"",INDEX(IHZ_HAZ_UNNUMBER,211,1)&lt;&gt;"",INDEX(IHZ_HAZ_TOTAMOUNT,211,1)&lt;&gt;"",INDEX(IHZ_HAZ_PACKINGGRO,211,1)&lt;&gt;"",INDEX(IHZ_HAZ_FLASHPOINT,211,1)&lt;&gt;"",INDEX(IHZ_HAZ_MARPOLCODE,211,1)&lt;&gt;"",INDEX(IHZ_HAZ_PACTYPE,211,1)&lt;&gt;"",INDEX(IHZ_HAZ_TOTALPACKA,211,1)&lt;&gt;"",INDEX(IHZ_HAZ_ADDITIONAL,211,1)&lt;&gt;"",INDEX(IHZ_HAZ_EMS,211,1)&lt;&gt;"",INDEX(IHZ_HAZ_SUBSIDIARY,211,1)&lt;&gt;"",INDEX(IHZ_HAZ_UNITTYPE,211,1)&lt;&gt;"",INDEX(IHZ_HAZ_TEUID,211,1)&lt;&gt;"",INDEX(IHZ_HAZ_LOCATION,211,1)&lt;&gt;"",INDEX(IHZ_HAZ_PACKAGES,211,1)&lt;&gt;"",INDEX(IHZ_HAZ_AMOUNT,211,1)&lt;&gt;"",),IF(OR(INDEX(IHZ_HAZ_DGCLASSIFI,211,1)="",INDEX(IHZ_HAZ_TEXTUALREF,211,1)="",INDEX(IHZ_HAZ_TOTAMOUNT,211,1)="",INDEX(IHZ_HAZ_DPGREF,211,1)="",INDEX(IHZ_HAZ_CONSIGNMENT,211,1)="",),FALSE,TRUE),TRUE)</f>
        <v>1</v>
      </c>
      <c r="H218" s="237" t="str">
        <f t="shared" si="7"/>
        <v>Row 211 - All mandatory fields must be given</v>
      </c>
      <c r="J218" s="52" t="b">
        <f>IF(OR(INDEX(OHZ_HAZ_CONSIGNMENT,211,1)&lt;&gt;"",INDEX(OHZ_HAZ_TRANSDOCID,211,1)&lt;&gt;"",INDEX(OHZ_HAZ_PORTOFLOADING,211,1)&lt;&gt;"",INDEX(OHZ_HAZ_PORTOFDISCHARGE,211,1)&lt;&gt;"",INDEX(OHZ_HAZ_DPGREF,211,1)&lt;&gt;"",INDEX(OHZ_HAZ_DGCLASSIFI,211,1)&lt;&gt;"",INDEX(OHZ_HAZ_TEXTUALREF,211,1)&lt;&gt;"",INDEX(OHZ_HAZ_IMOHAZARDC,211,1)&lt;&gt;"",INDEX(OHZ_HAZ_UNNUMBER,211,1)&lt;&gt;"",INDEX(OHZ_HAZ_TOTAMOUNT,211,1)&lt;&gt;"",INDEX(OHZ_HAZ_PACKINGGRO,211,1)&lt;&gt;"",INDEX(OHZ_HAZ_FLASHPOINT,211,1)&lt;&gt;"",INDEX(OHZ_HAZ_MARPOLCODE,211,1)&lt;&gt;"",INDEX(OHZ_HAZ_PACTYPE,211,1)&lt;&gt;"",INDEX(OHZ_HAZ_TOTALPACKA,211,1)&lt;&gt;"",INDEX(OHZ_HAZ_ADDITIONAL,211,1)&lt;&gt;"",INDEX(OHZ_HAZ_EMS,211,1)&lt;&gt;"",INDEX(OHZ_HAZ_SUBSIDIARY,211,1)&lt;&gt;"",INDEX(OHZ_HAZ_UNITTYPE,211,1)&lt;&gt;"",INDEX(OHZ_HAZ_TEUID,211,1)&lt;&gt;"",INDEX(OHZ_HAZ_LOCATION,211,1)&lt;&gt;"",INDEX(OHZ_HAZ_PACKAGES,211,1)&lt;&gt;"",INDEX(OHZ_HAZ_AMOUNT,211,1)&lt;&gt;"",),IF(OR(INDEX(OHZ_HAZ_DGCLASSIFI,211,1)="",INDEX(OHZ_HAZ_TEXTUALREF,211,1)="",INDEX(OHZ_HAZ_TOTAMOUNT,211,1)="",INDEX(OHZ_HAZ_DPGREF,211,1)="",INDEX(OHZ_HAZ_CONSIGNMENT,211,1)="",),FALSE,TRUE),TRUE)</f>
        <v>1</v>
      </c>
      <c r="K218" s="237" t="str">
        <f t="shared" si="8"/>
        <v>Row 211 - All mandatory fields must be given</v>
      </c>
      <c r="L218" s="236" t="s">
        <v>1853</v>
      </c>
      <c r="S218" s="52"/>
      <c r="T218" s="52" t="s">
        <v>2303</v>
      </c>
      <c r="V218" s="52"/>
    </row>
    <row r="219" spans="6:22">
      <c r="F219" s="236" t="s">
        <v>1853</v>
      </c>
      <c r="G219" s="250" t="b">
        <f>IF(OR(INDEX(IHZ_HAZ_CONSIGNMENT,212,1)&lt;&gt;"",INDEX(IHZ_HAZ_TRANSDOCID,212,1)&lt;&gt;"",INDEX(IHZ_HAZ_PORTOFLOADING,212,1)&lt;&gt;"",INDEX(IHZ_HAZ_PORTOFDISCHARGE,212,1)&lt;&gt;"",INDEX(IHZ_HAZ_DPGREF,212,1)&lt;&gt;"",INDEX(IHZ_HAZ_DGCLASSIFI,212,1)&lt;&gt;"",INDEX(IHZ_HAZ_TEXTUALREF,212,1)&lt;&gt;"",INDEX(IHZ_HAZ_IMOHAZARDC,212,1)&lt;&gt;"",INDEX(IHZ_HAZ_UNNUMBER,212,1)&lt;&gt;"",INDEX(IHZ_HAZ_TOTAMOUNT,212,1)&lt;&gt;"",INDEX(IHZ_HAZ_PACKINGGRO,212,1)&lt;&gt;"",INDEX(IHZ_HAZ_FLASHPOINT,212,1)&lt;&gt;"",INDEX(IHZ_HAZ_MARPOLCODE,212,1)&lt;&gt;"",INDEX(IHZ_HAZ_PACTYPE,212,1)&lt;&gt;"",INDEX(IHZ_HAZ_TOTALPACKA,212,1)&lt;&gt;"",INDEX(IHZ_HAZ_ADDITIONAL,212,1)&lt;&gt;"",INDEX(IHZ_HAZ_EMS,212,1)&lt;&gt;"",INDEX(IHZ_HAZ_SUBSIDIARY,212,1)&lt;&gt;"",INDEX(IHZ_HAZ_UNITTYPE,212,1)&lt;&gt;"",INDEX(IHZ_HAZ_TEUID,212,1)&lt;&gt;"",INDEX(IHZ_HAZ_LOCATION,212,1)&lt;&gt;"",INDEX(IHZ_HAZ_PACKAGES,212,1)&lt;&gt;"",INDEX(IHZ_HAZ_AMOUNT,212,1)&lt;&gt;"",),IF(OR(INDEX(IHZ_HAZ_DGCLASSIFI,212,1)="",INDEX(IHZ_HAZ_TEXTUALREF,212,1)="",INDEX(IHZ_HAZ_TOTAMOUNT,212,1)="",INDEX(IHZ_HAZ_DPGREF,212,1)="",INDEX(IHZ_HAZ_CONSIGNMENT,212,1)="",),FALSE,TRUE),TRUE)</f>
        <v>1</v>
      </c>
      <c r="H219" s="237" t="str">
        <f t="shared" si="7"/>
        <v>Row 212 - All mandatory fields must be given</v>
      </c>
      <c r="J219" s="52" t="b">
        <f>IF(OR(INDEX(OHZ_HAZ_CONSIGNMENT,212,1)&lt;&gt;"",INDEX(OHZ_HAZ_TRANSDOCID,212,1)&lt;&gt;"",INDEX(OHZ_HAZ_PORTOFLOADING,212,1)&lt;&gt;"",INDEX(OHZ_HAZ_PORTOFDISCHARGE,212,1)&lt;&gt;"",INDEX(OHZ_HAZ_DPGREF,212,1)&lt;&gt;"",INDEX(OHZ_HAZ_DGCLASSIFI,212,1)&lt;&gt;"",INDEX(OHZ_HAZ_TEXTUALREF,212,1)&lt;&gt;"",INDEX(OHZ_HAZ_IMOHAZARDC,212,1)&lt;&gt;"",INDEX(OHZ_HAZ_UNNUMBER,212,1)&lt;&gt;"",INDEX(OHZ_HAZ_TOTAMOUNT,212,1)&lt;&gt;"",INDEX(OHZ_HAZ_PACKINGGRO,212,1)&lt;&gt;"",INDEX(OHZ_HAZ_FLASHPOINT,212,1)&lt;&gt;"",INDEX(OHZ_HAZ_MARPOLCODE,212,1)&lt;&gt;"",INDEX(OHZ_HAZ_PACTYPE,212,1)&lt;&gt;"",INDEX(OHZ_HAZ_TOTALPACKA,212,1)&lt;&gt;"",INDEX(OHZ_HAZ_ADDITIONAL,212,1)&lt;&gt;"",INDEX(OHZ_HAZ_EMS,212,1)&lt;&gt;"",INDEX(OHZ_HAZ_SUBSIDIARY,212,1)&lt;&gt;"",INDEX(OHZ_HAZ_UNITTYPE,212,1)&lt;&gt;"",INDEX(OHZ_HAZ_TEUID,212,1)&lt;&gt;"",INDEX(OHZ_HAZ_LOCATION,212,1)&lt;&gt;"",INDEX(OHZ_HAZ_PACKAGES,212,1)&lt;&gt;"",INDEX(OHZ_HAZ_AMOUNT,212,1)&lt;&gt;"",),IF(OR(INDEX(OHZ_HAZ_DGCLASSIFI,212,1)="",INDEX(OHZ_HAZ_TEXTUALREF,212,1)="",INDEX(OHZ_HAZ_TOTAMOUNT,212,1)="",INDEX(OHZ_HAZ_DPGREF,212,1)="",INDEX(OHZ_HAZ_CONSIGNMENT,212,1)="",),FALSE,TRUE),TRUE)</f>
        <v>1</v>
      </c>
      <c r="K219" s="237" t="str">
        <f t="shared" si="8"/>
        <v>Row 212 - All mandatory fields must be given</v>
      </c>
      <c r="L219" s="236" t="s">
        <v>1853</v>
      </c>
      <c r="S219" s="52"/>
      <c r="T219" s="52" t="s">
        <v>2304</v>
      </c>
      <c r="V219" s="52"/>
    </row>
    <row r="220" spans="6:22">
      <c r="F220" s="236" t="s">
        <v>1853</v>
      </c>
      <c r="G220" s="250" t="b">
        <f>IF(OR(INDEX(IHZ_HAZ_CONSIGNMENT,213,1)&lt;&gt;"",INDEX(IHZ_HAZ_TRANSDOCID,213,1)&lt;&gt;"",INDEX(IHZ_HAZ_PORTOFLOADING,213,1)&lt;&gt;"",INDEX(IHZ_HAZ_PORTOFDISCHARGE,213,1)&lt;&gt;"",INDEX(IHZ_HAZ_DPGREF,213,1)&lt;&gt;"",INDEX(IHZ_HAZ_DGCLASSIFI,213,1)&lt;&gt;"",INDEX(IHZ_HAZ_TEXTUALREF,213,1)&lt;&gt;"",INDEX(IHZ_HAZ_IMOHAZARDC,213,1)&lt;&gt;"",INDEX(IHZ_HAZ_UNNUMBER,213,1)&lt;&gt;"",INDEX(IHZ_HAZ_TOTAMOUNT,213,1)&lt;&gt;"",INDEX(IHZ_HAZ_PACKINGGRO,213,1)&lt;&gt;"",INDEX(IHZ_HAZ_FLASHPOINT,213,1)&lt;&gt;"",INDEX(IHZ_HAZ_MARPOLCODE,213,1)&lt;&gt;"",INDEX(IHZ_HAZ_PACTYPE,213,1)&lt;&gt;"",INDEX(IHZ_HAZ_TOTALPACKA,213,1)&lt;&gt;"",INDEX(IHZ_HAZ_ADDITIONAL,213,1)&lt;&gt;"",INDEX(IHZ_HAZ_EMS,213,1)&lt;&gt;"",INDEX(IHZ_HAZ_SUBSIDIARY,213,1)&lt;&gt;"",INDEX(IHZ_HAZ_UNITTYPE,213,1)&lt;&gt;"",INDEX(IHZ_HAZ_TEUID,213,1)&lt;&gt;"",INDEX(IHZ_HAZ_LOCATION,213,1)&lt;&gt;"",INDEX(IHZ_HAZ_PACKAGES,213,1)&lt;&gt;"",INDEX(IHZ_HAZ_AMOUNT,213,1)&lt;&gt;"",),IF(OR(INDEX(IHZ_HAZ_DGCLASSIFI,213,1)="",INDEX(IHZ_HAZ_TEXTUALREF,213,1)="",INDEX(IHZ_HAZ_TOTAMOUNT,213,1)="",INDEX(IHZ_HAZ_DPGREF,213,1)="",INDEX(IHZ_HAZ_CONSIGNMENT,213,1)="",),FALSE,TRUE),TRUE)</f>
        <v>1</v>
      </c>
      <c r="H220" s="237" t="str">
        <f t="shared" si="7"/>
        <v>Row 213 - All mandatory fields must be given</v>
      </c>
      <c r="J220" s="52" t="b">
        <f>IF(OR(INDEX(OHZ_HAZ_CONSIGNMENT,213,1)&lt;&gt;"",INDEX(OHZ_HAZ_TRANSDOCID,213,1)&lt;&gt;"",INDEX(OHZ_HAZ_PORTOFLOADING,213,1)&lt;&gt;"",INDEX(OHZ_HAZ_PORTOFDISCHARGE,213,1)&lt;&gt;"",INDEX(OHZ_HAZ_DPGREF,213,1)&lt;&gt;"",INDEX(OHZ_HAZ_DGCLASSIFI,213,1)&lt;&gt;"",INDEX(OHZ_HAZ_TEXTUALREF,213,1)&lt;&gt;"",INDEX(OHZ_HAZ_IMOHAZARDC,213,1)&lt;&gt;"",INDEX(OHZ_HAZ_UNNUMBER,213,1)&lt;&gt;"",INDEX(OHZ_HAZ_TOTAMOUNT,213,1)&lt;&gt;"",INDEX(OHZ_HAZ_PACKINGGRO,213,1)&lt;&gt;"",INDEX(OHZ_HAZ_FLASHPOINT,213,1)&lt;&gt;"",INDEX(OHZ_HAZ_MARPOLCODE,213,1)&lt;&gt;"",INDEX(OHZ_HAZ_PACTYPE,213,1)&lt;&gt;"",INDEX(OHZ_HAZ_TOTALPACKA,213,1)&lt;&gt;"",INDEX(OHZ_HAZ_ADDITIONAL,213,1)&lt;&gt;"",INDEX(OHZ_HAZ_EMS,213,1)&lt;&gt;"",INDEX(OHZ_HAZ_SUBSIDIARY,213,1)&lt;&gt;"",INDEX(OHZ_HAZ_UNITTYPE,213,1)&lt;&gt;"",INDEX(OHZ_HAZ_TEUID,213,1)&lt;&gt;"",INDEX(OHZ_HAZ_LOCATION,213,1)&lt;&gt;"",INDEX(OHZ_HAZ_PACKAGES,213,1)&lt;&gt;"",INDEX(OHZ_HAZ_AMOUNT,213,1)&lt;&gt;"",),IF(OR(INDEX(OHZ_HAZ_DGCLASSIFI,213,1)="",INDEX(OHZ_HAZ_TEXTUALREF,213,1)="",INDEX(OHZ_HAZ_TOTAMOUNT,213,1)="",INDEX(OHZ_HAZ_DPGREF,213,1)="",INDEX(OHZ_HAZ_CONSIGNMENT,213,1)="",),FALSE,TRUE),TRUE)</f>
        <v>1</v>
      </c>
      <c r="K220" s="237" t="str">
        <f t="shared" si="8"/>
        <v>Row 213 - All mandatory fields must be given</v>
      </c>
      <c r="L220" s="236" t="s">
        <v>1853</v>
      </c>
      <c r="S220" s="52"/>
      <c r="T220" s="52" t="s">
        <v>2305</v>
      </c>
      <c r="V220" s="52"/>
    </row>
    <row r="221" spans="6:22">
      <c r="F221" s="236" t="s">
        <v>1853</v>
      </c>
      <c r="G221" s="250" t="b">
        <f>IF(OR(INDEX(IHZ_HAZ_CONSIGNMENT,214,1)&lt;&gt;"",INDEX(IHZ_HAZ_TRANSDOCID,214,1)&lt;&gt;"",INDEX(IHZ_HAZ_PORTOFLOADING,214,1)&lt;&gt;"",INDEX(IHZ_HAZ_PORTOFDISCHARGE,214,1)&lt;&gt;"",INDEX(IHZ_HAZ_DPGREF,214,1)&lt;&gt;"",INDEX(IHZ_HAZ_DGCLASSIFI,214,1)&lt;&gt;"",INDEX(IHZ_HAZ_TEXTUALREF,214,1)&lt;&gt;"",INDEX(IHZ_HAZ_IMOHAZARDC,214,1)&lt;&gt;"",INDEX(IHZ_HAZ_UNNUMBER,214,1)&lt;&gt;"",INDEX(IHZ_HAZ_TOTAMOUNT,214,1)&lt;&gt;"",INDEX(IHZ_HAZ_PACKINGGRO,214,1)&lt;&gt;"",INDEX(IHZ_HAZ_FLASHPOINT,214,1)&lt;&gt;"",INDEX(IHZ_HAZ_MARPOLCODE,214,1)&lt;&gt;"",INDEX(IHZ_HAZ_PACTYPE,214,1)&lt;&gt;"",INDEX(IHZ_HAZ_TOTALPACKA,214,1)&lt;&gt;"",INDEX(IHZ_HAZ_ADDITIONAL,214,1)&lt;&gt;"",INDEX(IHZ_HAZ_EMS,214,1)&lt;&gt;"",INDEX(IHZ_HAZ_SUBSIDIARY,214,1)&lt;&gt;"",INDEX(IHZ_HAZ_UNITTYPE,214,1)&lt;&gt;"",INDEX(IHZ_HAZ_TEUID,214,1)&lt;&gt;"",INDEX(IHZ_HAZ_LOCATION,214,1)&lt;&gt;"",INDEX(IHZ_HAZ_PACKAGES,214,1)&lt;&gt;"",INDEX(IHZ_HAZ_AMOUNT,214,1)&lt;&gt;"",),IF(OR(INDEX(IHZ_HAZ_DGCLASSIFI,214,1)="",INDEX(IHZ_HAZ_TEXTUALREF,214,1)="",INDEX(IHZ_HAZ_TOTAMOUNT,214,1)="",INDEX(IHZ_HAZ_DPGREF,214,1)="",INDEX(IHZ_HAZ_CONSIGNMENT,214,1)="",),FALSE,TRUE),TRUE)</f>
        <v>1</v>
      </c>
      <c r="H221" s="237" t="str">
        <f t="shared" si="7"/>
        <v>Row 214 - All mandatory fields must be given</v>
      </c>
      <c r="J221" s="52" t="b">
        <f>IF(OR(INDEX(OHZ_HAZ_CONSIGNMENT,214,1)&lt;&gt;"",INDEX(OHZ_HAZ_TRANSDOCID,214,1)&lt;&gt;"",INDEX(OHZ_HAZ_PORTOFLOADING,214,1)&lt;&gt;"",INDEX(OHZ_HAZ_PORTOFDISCHARGE,214,1)&lt;&gt;"",INDEX(OHZ_HAZ_DPGREF,214,1)&lt;&gt;"",INDEX(OHZ_HAZ_DGCLASSIFI,214,1)&lt;&gt;"",INDEX(OHZ_HAZ_TEXTUALREF,214,1)&lt;&gt;"",INDEX(OHZ_HAZ_IMOHAZARDC,214,1)&lt;&gt;"",INDEX(OHZ_HAZ_UNNUMBER,214,1)&lt;&gt;"",INDEX(OHZ_HAZ_TOTAMOUNT,214,1)&lt;&gt;"",INDEX(OHZ_HAZ_PACKINGGRO,214,1)&lt;&gt;"",INDEX(OHZ_HAZ_FLASHPOINT,214,1)&lt;&gt;"",INDEX(OHZ_HAZ_MARPOLCODE,214,1)&lt;&gt;"",INDEX(OHZ_HAZ_PACTYPE,214,1)&lt;&gt;"",INDEX(OHZ_HAZ_TOTALPACKA,214,1)&lt;&gt;"",INDEX(OHZ_HAZ_ADDITIONAL,214,1)&lt;&gt;"",INDEX(OHZ_HAZ_EMS,214,1)&lt;&gt;"",INDEX(OHZ_HAZ_SUBSIDIARY,214,1)&lt;&gt;"",INDEX(OHZ_HAZ_UNITTYPE,214,1)&lt;&gt;"",INDEX(OHZ_HAZ_TEUID,214,1)&lt;&gt;"",INDEX(OHZ_HAZ_LOCATION,214,1)&lt;&gt;"",INDEX(OHZ_HAZ_PACKAGES,214,1)&lt;&gt;"",INDEX(OHZ_HAZ_AMOUNT,214,1)&lt;&gt;"",),IF(OR(INDEX(OHZ_HAZ_DGCLASSIFI,214,1)="",INDEX(OHZ_HAZ_TEXTUALREF,214,1)="",INDEX(OHZ_HAZ_TOTAMOUNT,214,1)="",INDEX(OHZ_HAZ_DPGREF,214,1)="",INDEX(OHZ_HAZ_CONSIGNMENT,214,1)="",),FALSE,TRUE),TRUE)</f>
        <v>1</v>
      </c>
      <c r="K221" s="237" t="str">
        <f t="shared" si="8"/>
        <v>Row 214 - All mandatory fields must be given</v>
      </c>
      <c r="L221" s="236" t="s">
        <v>1853</v>
      </c>
      <c r="S221" s="52"/>
      <c r="T221" s="52" t="s">
        <v>2306</v>
      </c>
      <c r="V221" s="52"/>
    </row>
    <row r="222" spans="6:22">
      <c r="F222" s="236" t="s">
        <v>1853</v>
      </c>
      <c r="G222" s="250" t="b">
        <f>IF(OR(INDEX(IHZ_HAZ_CONSIGNMENT,215,1)&lt;&gt;"",INDEX(IHZ_HAZ_TRANSDOCID,215,1)&lt;&gt;"",INDEX(IHZ_HAZ_PORTOFLOADING,215,1)&lt;&gt;"",INDEX(IHZ_HAZ_PORTOFDISCHARGE,215,1)&lt;&gt;"",INDEX(IHZ_HAZ_DPGREF,215,1)&lt;&gt;"",INDEX(IHZ_HAZ_DGCLASSIFI,215,1)&lt;&gt;"",INDEX(IHZ_HAZ_TEXTUALREF,215,1)&lt;&gt;"",INDEX(IHZ_HAZ_IMOHAZARDC,215,1)&lt;&gt;"",INDEX(IHZ_HAZ_UNNUMBER,215,1)&lt;&gt;"",INDEX(IHZ_HAZ_TOTAMOUNT,215,1)&lt;&gt;"",INDEX(IHZ_HAZ_PACKINGGRO,215,1)&lt;&gt;"",INDEX(IHZ_HAZ_FLASHPOINT,215,1)&lt;&gt;"",INDEX(IHZ_HAZ_MARPOLCODE,215,1)&lt;&gt;"",INDEX(IHZ_HAZ_PACTYPE,215,1)&lt;&gt;"",INDEX(IHZ_HAZ_TOTALPACKA,215,1)&lt;&gt;"",INDEX(IHZ_HAZ_ADDITIONAL,215,1)&lt;&gt;"",INDEX(IHZ_HAZ_EMS,215,1)&lt;&gt;"",INDEX(IHZ_HAZ_SUBSIDIARY,215,1)&lt;&gt;"",INDEX(IHZ_HAZ_UNITTYPE,215,1)&lt;&gt;"",INDEX(IHZ_HAZ_TEUID,215,1)&lt;&gt;"",INDEX(IHZ_HAZ_LOCATION,215,1)&lt;&gt;"",INDEX(IHZ_HAZ_PACKAGES,215,1)&lt;&gt;"",INDEX(IHZ_HAZ_AMOUNT,215,1)&lt;&gt;"",),IF(OR(INDEX(IHZ_HAZ_DGCLASSIFI,215,1)="",INDEX(IHZ_HAZ_TEXTUALREF,215,1)="",INDEX(IHZ_HAZ_TOTAMOUNT,215,1)="",INDEX(IHZ_HAZ_DPGREF,215,1)="",INDEX(IHZ_HAZ_CONSIGNMENT,215,1)="",),FALSE,TRUE),TRUE)</f>
        <v>1</v>
      </c>
      <c r="H222" s="237" t="str">
        <f t="shared" si="7"/>
        <v>Row 215 - All mandatory fields must be given</v>
      </c>
      <c r="J222" s="52" t="b">
        <f>IF(OR(INDEX(OHZ_HAZ_CONSIGNMENT,215,1)&lt;&gt;"",INDEX(OHZ_HAZ_TRANSDOCID,215,1)&lt;&gt;"",INDEX(OHZ_HAZ_PORTOFLOADING,215,1)&lt;&gt;"",INDEX(OHZ_HAZ_PORTOFDISCHARGE,215,1)&lt;&gt;"",INDEX(OHZ_HAZ_DPGREF,215,1)&lt;&gt;"",INDEX(OHZ_HAZ_DGCLASSIFI,215,1)&lt;&gt;"",INDEX(OHZ_HAZ_TEXTUALREF,215,1)&lt;&gt;"",INDEX(OHZ_HAZ_IMOHAZARDC,215,1)&lt;&gt;"",INDEX(OHZ_HAZ_UNNUMBER,215,1)&lt;&gt;"",INDEX(OHZ_HAZ_TOTAMOUNT,215,1)&lt;&gt;"",INDEX(OHZ_HAZ_PACKINGGRO,215,1)&lt;&gt;"",INDEX(OHZ_HAZ_FLASHPOINT,215,1)&lt;&gt;"",INDEX(OHZ_HAZ_MARPOLCODE,215,1)&lt;&gt;"",INDEX(OHZ_HAZ_PACTYPE,215,1)&lt;&gt;"",INDEX(OHZ_HAZ_TOTALPACKA,215,1)&lt;&gt;"",INDEX(OHZ_HAZ_ADDITIONAL,215,1)&lt;&gt;"",INDEX(OHZ_HAZ_EMS,215,1)&lt;&gt;"",INDEX(OHZ_HAZ_SUBSIDIARY,215,1)&lt;&gt;"",INDEX(OHZ_HAZ_UNITTYPE,215,1)&lt;&gt;"",INDEX(OHZ_HAZ_TEUID,215,1)&lt;&gt;"",INDEX(OHZ_HAZ_LOCATION,215,1)&lt;&gt;"",INDEX(OHZ_HAZ_PACKAGES,215,1)&lt;&gt;"",INDEX(OHZ_HAZ_AMOUNT,215,1)&lt;&gt;"",),IF(OR(INDEX(OHZ_HAZ_DGCLASSIFI,215,1)="",INDEX(OHZ_HAZ_TEXTUALREF,215,1)="",INDEX(OHZ_HAZ_TOTAMOUNT,215,1)="",INDEX(OHZ_HAZ_DPGREF,215,1)="",INDEX(OHZ_HAZ_CONSIGNMENT,215,1)="",),FALSE,TRUE),TRUE)</f>
        <v>1</v>
      </c>
      <c r="K222" s="237" t="str">
        <f t="shared" si="8"/>
        <v>Row 215 - All mandatory fields must be given</v>
      </c>
      <c r="L222" s="236" t="s">
        <v>1853</v>
      </c>
      <c r="S222" s="52"/>
      <c r="T222" s="52" t="s">
        <v>2307</v>
      </c>
      <c r="V222" s="52"/>
    </row>
    <row r="223" spans="6:22">
      <c r="F223" s="236" t="s">
        <v>1853</v>
      </c>
      <c r="G223" s="250" t="b">
        <f>IF(OR(INDEX(IHZ_HAZ_CONSIGNMENT,216,1)&lt;&gt;"",INDEX(IHZ_HAZ_TRANSDOCID,216,1)&lt;&gt;"",INDEX(IHZ_HAZ_PORTOFLOADING,216,1)&lt;&gt;"",INDEX(IHZ_HAZ_PORTOFDISCHARGE,216,1)&lt;&gt;"",INDEX(IHZ_HAZ_DPGREF,216,1)&lt;&gt;"",INDEX(IHZ_HAZ_DGCLASSIFI,216,1)&lt;&gt;"",INDEX(IHZ_HAZ_TEXTUALREF,216,1)&lt;&gt;"",INDEX(IHZ_HAZ_IMOHAZARDC,216,1)&lt;&gt;"",INDEX(IHZ_HAZ_UNNUMBER,216,1)&lt;&gt;"",INDEX(IHZ_HAZ_TOTAMOUNT,216,1)&lt;&gt;"",INDEX(IHZ_HAZ_PACKINGGRO,216,1)&lt;&gt;"",INDEX(IHZ_HAZ_FLASHPOINT,216,1)&lt;&gt;"",INDEX(IHZ_HAZ_MARPOLCODE,216,1)&lt;&gt;"",INDEX(IHZ_HAZ_PACTYPE,216,1)&lt;&gt;"",INDEX(IHZ_HAZ_TOTALPACKA,216,1)&lt;&gt;"",INDEX(IHZ_HAZ_ADDITIONAL,216,1)&lt;&gt;"",INDEX(IHZ_HAZ_EMS,216,1)&lt;&gt;"",INDEX(IHZ_HAZ_SUBSIDIARY,216,1)&lt;&gt;"",INDEX(IHZ_HAZ_UNITTYPE,216,1)&lt;&gt;"",INDEX(IHZ_HAZ_TEUID,216,1)&lt;&gt;"",INDEX(IHZ_HAZ_LOCATION,216,1)&lt;&gt;"",INDEX(IHZ_HAZ_PACKAGES,216,1)&lt;&gt;"",INDEX(IHZ_HAZ_AMOUNT,216,1)&lt;&gt;"",),IF(OR(INDEX(IHZ_HAZ_DGCLASSIFI,216,1)="",INDEX(IHZ_HAZ_TEXTUALREF,216,1)="",INDEX(IHZ_HAZ_TOTAMOUNT,216,1)="",INDEX(IHZ_HAZ_DPGREF,216,1)="",INDEX(IHZ_HAZ_CONSIGNMENT,216,1)="",),FALSE,TRUE),TRUE)</f>
        <v>1</v>
      </c>
      <c r="H223" s="237" t="str">
        <f t="shared" si="7"/>
        <v>Row 216 - All mandatory fields must be given</v>
      </c>
      <c r="J223" s="52" t="b">
        <f>IF(OR(INDEX(OHZ_HAZ_CONSIGNMENT,216,1)&lt;&gt;"",INDEX(OHZ_HAZ_TRANSDOCID,216,1)&lt;&gt;"",INDEX(OHZ_HAZ_PORTOFLOADING,216,1)&lt;&gt;"",INDEX(OHZ_HAZ_PORTOFDISCHARGE,216,1)&lt;&gt;"",INDEX(OHZ_HAZ_DPGREF,216,1)&lt;&gt;"",INDEX(OHZ_HAZ_DGCLASSIFI,216,1)&lt;&gt;"",INDEX(OHZ_HAZ_TEXTUALREF,216,1)&lt;&gt;"",INDEX(OHZ_HAZ_IMOHAZARDC,216,1)&lt;&gt;"",INDEX(OHZ_HAZ_UNNUMBER,216,1)&lt;&gt;"",INDEX(OHZ_HAZ_TOTAMOUNT,216,1)&lt;&gt;"",INDEX(OHZ_HAZ_PACKINGGRO,216,1)&lt;&gt;"",INDEX(OHZ_HAZ_FLASHPOINT,216,1)&lt;&gt;"",INDEX(OHZ_HAZ_MARPOLCODE,216,1)&lt;&gt;"",INDEX(OHZ_HAZ_PACTYPE,216,1)&lt;&gt;"",INDEX(OHZ_HAZ_TOTALPACKA,216,1)&lt;&gt;"",INDEX(OHZ_HAZ_ADDITIONAL,216,1)&lt;&gt;"",INDEX(OHZ_HAZ_EMS,216,1)&lt;&gt;"",INDEX(OHZ_HAZ_SUBSIDIARY,216,1)&lt;&gt;"",INDEX(OHZ_HAZ_UNITTYPE,216,1)&lt;&gt;"",INDEX(OHZ_HAZ_TEUID,216,1)&lt;&gt;"",INDEX(OHZ_HAZ_LOCATION,216,1)&lt;&gt;"",INDEX(OHZ_HAZ_PACKAGES,216,1)&lt;&gt;"",INDEX(OHZ_HAZ_AMOUNT,216,1)&lt;&gt;"",),IF(OR(INDEX(OHZ_HAZ_DGCLASSIFI,216,1)="",INDEX(OHZ_HAZ_TEXTUALREF,216,1)="",INDEX(OHZ_HAZ_TOTAMOUNT,216,1)="",INDEX(OHZ_HAZ_DPGREF,216,1)="",INDEX(OHZ_HAZ_CONSIGNMENT,216,1)="",),FALSE,TRUE),TRUE)</f>
        <v>1</v>
      </c>
      <c r="K223" s="237" t="str">
        <f t="shared" si="8"/>
        <v>Row 216 - All mandatory fields must be given</v>
      </c>
      <c r="L223" s="236" t="s">
        <v>1853</v>
      </c>
      <c r="S223" s="52"/>
      <c r="T223" s="52" t="s">
        <v>2308</v>
      </c>
      <c r="V223" s="52"/>
    </row>
    <row r="224" spans="6:22">
      <c r="F224" s="236" t="s">
        <v>1853</v>
      </c>
      <c r="G224" s="250" t="b">
        <f>IF(OR(INDEX(IHZ_HAZ_CONSIGNMENT,217,1)&lt;&gt;"",INDEX(IHZ_HAZ_TRANSDOCID,217,1)&lt;&gt;"",INDEX(IHZ_HAZ_PORTOFLOADING,217,1)&lt;&gt;"",INDEX(IHZ_HAZ_PORTOFDISCHARGE,217,1)&lt;&gt;"",INDEX(IHZ_HAZ_DPGREF,217,1)&lt;&gt;"",INDEX(IHZ_HAZ_DGCLASSIFI,217,1)&lt;&gt;"",INDEX(IHZ_HAZ_TEXTUALREF,217,1)&lt;&gt;"",INDEX(IHZ_HAZ_IMOHAZARDC,217,1)&lt;&gt;"",INDEX(IHZ_HAZ_UNNUMBER,217,1)&lt;&gt;"",INDEX(IHZ_HAZ_TOTAMOUNT,217,1)&lt;&gt;"",INDEX(IHZ_HAZ_PACKINGGRO,217,1)&lt;&gt;"",INDEX(IHZ_HAZ_FLASHPOINT,217,1)&lt;&gt;"",INDEX(IHZ_HAZ_MARPOLCODE,217,1)&lt;&gt;"",INDEX(IHZ_HAZ_PACTYPE,217,1)&lt;&gt;"",INDEX(IHZ_HAZ_TOTALPACKA,217,1)&lt;&gt;"",INDEX(IHZ_HAZ_ADDITIONAL,217,1)&lt;&gt;"",INDEX(IHZ_HAZ_EMS,217,1)&lt;&gt;"",INDEX(IHZ_HAZ_SUBSIDIARY,217,1)&lt;&gt;"",INDEX(IHZ_HAZ_UNITTYPE,217,1)&lt;&gt;"",INDEX(IHZ_HAZ_TEUID,217,1)&lt;&gt;"",INDEX(IHZ_HAZ_LOCATION,217,1)&lt;&gt;"",INDEX(IHZ_HAZ_PACKAGES,217,1)&lt;&gt;"",INDEX(IHZ_HAZ_AMOUNT,217,1)&lt;&gt;"",),IF(OR(INDEX(IHZ_HAZ_DGCLASSIFI,217,1)="",INDEX(IHZ_HAZ_TEXTUALREF,217,1)="",INDEX(IHZ_HAZ_TOTAMOUNT,217,1)="",INDEX(IHZ_HAZ_DPGREF,217,1)="",INDEX(IHZ_HAZ_CONSIGNMENT,217,1)="",),FALSE,TRUE),TRUE)</f>
        <v>1</v>
      </c>
      <c r="H224" s="237" t="str">
        <f t="shared" si="7"/>
        <v>Row 217 - All mandatory fields must be given</v>
      </c>
      <c r="J224" s="52" t="b">
        <f>IF(OR(INDEX(OHZ_HAZ_CONSIGNMENT,217,1)&lt;&gt;"",INDEX(OHZ_HAZ_TRANSDOCID,217,1)&lt;&gt;"",INDEX(OHZ_HAZ_PORTOFLOADING,217,1)&lt;&gt;"",INDEX(OHZ_HAZ_PORTOFDISCHARGE,217,1)&lt;&gt;"",INDEX(OHZ_HAZ_DPGREF,217,1)&lt;&gt;"",INDEX(OHZ_HAZ_DGCLASSIFI,217,1)&lt;&gt;"",INDEX(OHZ_HAZ_TEXTUALREF,217,1)&lt;&gt;"",INDEX(OHZ_HAZ_IMOHAZARDC,217,1)&lt;&gt;"",INDEX(OHZ_HAZ_UNNUMBER,217,1)&lt;&gt;"",INDEX(OHZ_HAZ_TOTAMOUNT,217,1)&lt;&gt;"",INDEX(OHZ_HAZ_PACKINGGRO,217,1)&lt;&gt;"",INDEX(OHZ_HAZ_FLASHPOINT,217,1)&lt;&gt;"",INDEX(OHZ_HAZ_MARPOLCODE,217,1)&lt;&gt;"",INDEX(OHZ_HAZ_PACTYPE,217,1)&lt;&gt;"",INDEX(OHZ_HAZ_TOTALPACKA,217,1)&lt;&gt;"",INDEX(OHZ_HAZ_ADDITIONAL,217,1)&lt;&gt;"",INDEX(OHZ_HAZ_EMS,217,1)&lt;&gt;"",INDEX(OHZ_HAZ_SUBSIDIARY,217,1)&lt;&gt;"",INDEX(OHZ_HAZ_UNITTYPE,217,1)&lt;&gt;"",INDEX(OHZ_HAZ_TEUID,217,1)&lt;&gt;"",INDEX(OHZ_HAZ_LOCATION,217,1)&lt;&gt;"",INDEX(OHZ_HAZ_PACKAGES,217,1)&lt;&gt;"",INDEX(OHZ_HAZ_AMOUNT,217,1)&lt;&gt;"",),IF(OR(INDEX(OHZ_HAZ_DGCLASSIFI,217,1)="",INDEX(OHZ_HAZ_TEXTUALREF,217,1)="",INDEX(OHZ_HAZ_TOTAMOUNT,217,1)="",INDEX(OHZ_HAZ_DPGREF,217,1)="",INDEX(OHZ_HAZ_CONSIGNMENT,217,1)="",),FALSE,TRUE),TRUE)</f>
        <v>1</v>
      </c>
      <c r="K224" s="237" t="str">
        <f t="shared" si="8"/>
        <v>Row 217 - All mandatory fields must be given</v>
      </c>
      <c r="L224" s="236" t="s">
        <v>1853</v>
      </c>
      <c r="S224" s="52"/>
      <c r="T224" s="52" t="s">
        <v>2309</v>
      </c>
      <c r="V224" s="52"/>
    </row>
    <row r="225" spans="6:22">
      <c r="F225" s="236" t="s">
        <v>1853</v>
      </c>
      <c r="G225" s="250" t="b">
        <f>IF(OR(INDEX(IHZ_HAZ_CONSIGNMENT,218,1)&lt;&gt;"",INDEX(IHZ_HAZ_TRANSDOCID,218,1)&lt;&gt;"",INDEX(IHZ_HAZ_PORTOFLOADING,218,1)&lt;&gt;"",INDEX(IHZ_HAZ_PORTOFDISCHARGE,218,1)&lt;&gt;"",INDEX(IHZ_HAZ_DPGREF,218,1)&lt;&gt;"",INDEX(IHZ_HAZ_DGCLASSIFI,218,1)&lt;&gt;"",INDEX(IHZ_HAZ_TEXTUALREF,218,1)&lt;&gt;"",INDEX(IHZ_HAZ_IMOHAZARDC,218,1)&lt;&gt;"",INDEX(IHZ_HAZ_UNNUMBER,218,1)&lt;&gt;"",INDEX(IHZ_HAZ_TOTAMOUNT,218,1)&lt;&gt;"",INDEX(IHZ_HAZ_PACKINGGRO,218,1)&lt;&gt;"",INDEX(IHZ_HAZ_FLASHPOINT,218,1)&lt;&gt;"",INDEX(IHZ_HAZ_MARPOLCODE,218,1)&lt;&gt;"",INDEX(IHZ_HAZ_PACTYPE,218,1)&lt;&gt;"",INDEX(IHZ_HAZ_TOTALPACKA,218,1)&lt;&gt;"",INDEX(IHZ_HAZ_ADDITIONAL,218,1)&lt;&gt;"",INDEX(IHZ_HAZ_EMS,218,1)&lt;&gt;"",INDEX(IHZ_HAZ_SUBSIDIARY,218,1)&lt;&gt;"",INDEX(IHZ_HAZ_UNITTYPE,218,1)&lt;&gt;"",INDEX(IHZ_HAZ_TEUID,218,1)&lt;&gt;"",INDEX(IHZ_HAZ_LOCATION,218,1)&lt;&gt;"",INDEX(IHZ_HAZ_PACKAGES,218,1)&lt;&gt;"",INDEX(IHZ_HAZ_AMOUNT,218,1)&lt;&gt;"",),IF(OR(INDEX(IHZ_HAZ_DGCLASSIFI,218,1)="",INDEX(IHZ_HAZ_TEXTUALREF,218,1)="",INDEX(IHZ_HAZ_TOTAMOUNT,218,1)="",INDEX(IHZ_HAZ_DPGREF,218,1)="",INDEX(IHZ_HAZ_CONSIGNMENT,218,1)="",),FALSE,TRUE),TRUE)</f>
        <v>1</v>
      </c>
      <c r="H225" s="237" t="str">
        <f t="shared" si="7"/>
        <v>Row 218 - All mandatory fields must be given</v>
      </c>
      <c r="J225" s="52" t="b">
        <f>IF(OR(INDEX(OHZ_HAZ_CONSIGNMENT,218,1)&lt;&gt;"",INDEX(OHZ_HAZ_TRANSDOCID,218,1)&lt;&gt;"",INDEX(OHZ_HAZ_PORTOFLOADING,218,1)&lt;&gt;"",INDEX(OHZ_HAZ_PORTOFDISCHARGE,218,1)&lt;&gt;"",INDEX(OHZ_HAZ_DPGREF,218,1)&lt;&gt;"",INDEX(OHZ_HAZ_DGCLASSIFI,218,1)&lt;&gt;"",INDEX(OHZ_HAZ_TEXTUALREF,218,1)&lt;&gt;"",INDEX(OHZ_HAZ_IMOHAZARDC,218,1)&lt;&gt;"",INDEX(OHZ_HAZ_UNNUMBER,218,1)&lt;&gt;"",INDEX(OHZ_HAZ_TOTAMOUNT,218,1)&lt;&gt;"",INDEX(OHZ_HAZ_PACKINGGRO,218,1)&lt;&gt;"",INDEX(OHZ_HAZ_FLASHPOINT,218,1)&lt;&gt;"",INDEX(OHZ_HAZ_MARPOLCODE,218,1)&lt;&gt;"",INDEX(OHZ_HAZ_PACTYPE,218,1)&lt;&gt;"",INDEX(OHZ_HAZ_TOTALPACKA,218,1)&lt;&gt;"",INDEX(OHZ_HAZ_ADDITIONAL,218,1)&lt;&gt;"",INDEX(OHZ_HAZ_EMS,218,1)&lt;&gt;"",INDEX(OHZ_HAZ_SUBSIDIARY,218,1)&lt;&gt;"",INDEX(OHZ_HAZ_UNITTYPE,218,1)&lt;&gt;"",INDEX(OHZ_HAZ_TEUID,218,1)&lt;&gt;"",INDEX(OHZ_HAZ_LOCATION,218,1)&lt;&gt;"",INDEX(OHZ_HAZ_PACKAGES,218,1)&lt;&gt;"",INDEX(OHZ_HAZ_AMOUNT,218,1)&lt;&gt;"",),IF(OR(INDEX(OHZ_HAZ_DGCLASSIFI,218,1)="",INDEX(OHZ_HAZ_TEXTUALREF,218,1)="",INDEX(OHZ_HAZ_TOTAMOUNT,218,1)="",INDEX(OHZ_HAZ_DPGREF,218,1)="",INDEX(OHZ_HAZ_CONSIGNMENT,218,1)="",),FALSE,TRUE),TRUE)</f>
        <v>1</v>
      </c>
      <c r="K225" s="237" t="str">
        <f t="shared" si="8"/>
        <v>Row 218 - All mandatory fields must be given</v>
      </c>
      <c r="L225" s="236" t="s">
        <v>1853</v>
      </c>
      <c r="S225" s="52"/>
      <c r="T225" s="52" t="s">
        <v>2310</v>
      </c>
      <c r="V225" s="52"/>
    </row>
    <row r="226" spans="6:22">
      <c r="F226" s="236" t="s">
        <v>1853</v>
      </c>
      <c r="G226" s="250" t="b">
        <f>IF(OR(INDEX(IHZ_HAZ_CONSIGNMENT,219,1)&lt;&gt;"",INDEX(IHZ_HAZ_TRANSDOCID,219,1)&lt;&gt;"",INDEX(IHZ_HAZ_PORTOFLOADING,219,1)&lt;&gt;"",INDEX(IHZ_HAZ_PORTOFDISCHARGE,219,1)&lt;&gt;"",INDEX(IHZ_HAZ_DPGREF,219,1)&lt;&gt;"",INDEX(IHZ_HAZ_DGCLASSIFI,219,1)&lt;&gt;"",INDEX(IHZ_HAZ_TEXTUALREF,219,1)&lt;&gt;"",INDEX(IHZ_HAZ_IMOHAZARDC,219,1)&lt;&gt;"",INDEX(IHZ_HAZ_UNNUMBER,219,1)&lt;&gt;"",INDEX(IHZ_HAZ_TOTAMOUNT,219,1)&lt;&gt;"",INDEX(IHZ_HAZ_PACKINGGRO,219,1)&lt;&gt;"",INDEX(IHZ_HAZ_FLASHPOINT,219,1)&lt;&gt;"",INDEX(IHZ_HAZ_MARPOLCODE,219,1)&lt;&gt;"",INDEX(IHZ_HAZ_PACTYPE,219,1)&lt;&gt;"",INDEX(IHZ_HAZ_TOTALPACKA,219,1)&lt;&gt;"",INDEX(IHZ_HAZ_ADDITIONAL,219,1)&lt;&gt;"",INDEX(IHZ_HAZ_EMS,219,1)&lt;&gt;"",INDEX(IHZ_HAZ_SUBSIDIARY,219,1)&lt;&gt;"",INDEX(IHZ_HAZ_UNITTYPE,219,1)&lt;&gt;"",INDEX(IHZ_HAZ_TEUID,219,1)&lt;&gt;"",INDEX(IHZ_HAZ_LOCATION,219,1)&lt;&gt;"",INDEX(IHZ_HAZ_PACKAGES,219,1)&lt;&gt;"",INDEX(IHZ_HAZ_AMOUNT,219,1)&lt;&gt;"",),IF(OR(INDEX(IHZ_HAZ_DGCLASSIFI,219,1)="",INDEX(IHZ_HAZ_TEXTUALREF,219,1)="",INDEX(IHZ_HAZ_TOTAMOUNT,219,1)="",INDEX(IHZ_HAZ_DPGREF,219,1)="",INDEX(IHZ_HAZ_CONSIGNMENT,219,1)="",),FALSE,TRUE),TRUE)</f>
        <v>1</v>
      </c>
      <c r="H226" s="237" t="str">
        <f t="shared" si="7"/>
        <v>Row 219 - All mandatory fields must be given</v>
      </c>
      <c r="J226" s="52" t="b">
        <f>IF(OR(INDEX(OHZ_HAZ_CONSIGNMENT,219,1)&lt;&gt;"",INDEX(OHZ_HAZ_TRANSDOCID,219,1)&lt;&gt;"",INDEX(OHZ_HAZ_PORTOFLOADING,219,1)&lt;&gt;"",INDEX(OHZ_HAZ_PORTOFDISCHARGE,219,1)&lt;&gt;"",INDEX(OHZ_HAZ_DPGREF,219,1)&lt;&gt;"",INDEX(OHZ_HAZ_DGCLASSIFI,219,1)&lt;&gt;"",INDEX(OHZ_HAZ_TEXTUALREF,219,1)&lt;&gt;"",INDEX(OHZ_HAZ_IMOHAZARDC,219,1)&lt;&gt;"",INDEX(OHZ_HAZ_UNNUMBER,219,1)&lt;&gt;"",INDEX(OHZ_HAZ_TOTAMOUNT,219,1)&lt;&gt;"",INDEX(OHZ_HAZ_PACKINGGRO,219,1)&lt;&gt;"",INDEX(OHZ_HAZ_FLASHPOINT,219,1)&lt;&gt;"",INDEX(OHZ_HAZ_MARPOLCODE,219,1)&lt;&gt;"",INDEX(OHZ_HAZ_PACTYPE,219,1)&lt;&gt;"",INDEX(OHZ_HAZ_TOTALPACKA,219,1)&lt;&gt;"",INDEX(OHZ_HAZ_ADDITIONAL,219,1)&lt;&gt;"",INDEX(OHZ_HAZ_EMS,219,1)&lt;&gt;"",INDEX(OHZ_HAZ_SUBSIDIARY,219,1)&lt;&gt;"",INDEX(OHZ_HAZ_UNITTYPE,219,1)&lt;&gt;"",INDEX(OHZ_HAZ_TEUID,219,1)&lt;&gt;"",INDEX(OHZ_HAZ_LOCATION,219,1)&lt;&gt;"",INDEX(OHZ_HAZ_PACKAGES,219,1)&lt;&gt;"",INDEX(OHZ_HAZ_AMOUNT,219,1)&lt;&gt;"",),IF(OR(INDEX(OHZ_HAZ_DGCLASSIFI,219,1)="",INDEX(OHZ_HAZ_TEXTUALREF,219,1)="",INDEX(OHZ_HAZ_TOTAMOUNT,219,1)="",INDEX(OHZ_HAZ_DPGREF,219,1)="",INDEX(OHZ_HAZ_CONSIGNMENT,219,1)="",),FALSE,TRUE),TRUE)</f>
        <v>1</v>
      </c>
      <c r="K226" s="237" t="str">
        <f t="shared" si="8"/>
        <v>Row 219 - All mandatory fields must be given</v>
      </c>
      <c r="L226" s="236" t="s">
        <v>1853</v>
      </c>
      <c r="S226" s="52"/>
      <c r="T226" s="52" t="s">
        <v>2311</v>
      </c>
      <c r="V226" s="52"/>
    </row>
    <row r="227" spans="6:22">
      <c r="F227" s="236" t="s">
        <v>1853</v>
      </c>
      <c r="G227" s="250" t="b">
        <f>IF(OR(INDEX(IHZ_HAZ_CONSIGNMENT,220,1)&lt;&gt;"",INDEX(IHZ_HAZ_TRANSDOCID,220,1)&lt;&gt;"",INDEX(IHZ_HAZ_PORTOFLOADING,220,1)&lt;&gt;"",INDEX(IHZ_HAZ_PORTOFDISCHARGE,220,1)&lt;&gt;"",INDEX(IHZ_HAZ_DPGREF,220,1)&lt;&gt;"",INDEX(IHZ_HAZ_DGCLASSIFI,220,1)&lt;&gt;"",INDEX(IHZ_HAZ_TEXTUALREF,220,1)&lt;&gt;"",INDEX(IHZ_HAZ_IMOHAZARDC,220,1)&lt;&gt;"",INDEX(IHZ_HAZ_UNNUMBER,220,1)&lt;&gt;"",INDEX(IHZ_HAZ_TOTAMOUNT,220,1)&lt;&gt;"",INDEX(IHZ_HAZ_PACKINGGRO,220,1)&lt;&gt;"",INDEX(IHZ_HAZ_FLASHPOINT,220,1)&lt;&gt;"",INDEX(IHZ_HAZ_MARPOLCODE,220,1)&lt;&gt;"",INDEX(IHZ_HAZ_PACTYPE,220,1)&lt;&gt;"",INDEX(IHZ_HAZ_TOTALPACKA,220,1)&lt;&gt;"",INDEX(IHZ_HAZ_ADDITIONAL,220,1)&lt;&gt;"",INDEX(IHZ_HAZ_EMS,220,1)&lt;&gt;"",INDEX(IHZ_HAZ_SUBSIDIARY,220,1)&lt;&gt;"",INDEX(IHZ_HAZ_UNITTYPE,220,1)&lt;&gt;"",INDEX(IHZ_HAZ_TEUID,220,1)&lt;&gt;"",INDEX(IHZ_HAZ_LOCATION,220,1)&lt;&gt;"",INDEX(IHZ_HAZ_PACKAGES,220,1)&lt;&gt;"",INDEX(IHZ_HAZ_AMOUNT,220,1)&lt;&gt;"",),IF(OR(INDEX(IHZ_HAZ_DGCLASSIFI,220,1)="",INDEX(IHZ_HAZ_TEXTUALREF,220,1)="",INDEX(IHZ_HAZ_TOTAMOUNT,220,1)="",INDEX(IHZ_HAZ_DPGREF,220,1)="",INDEX(IHZ_HAZ_CONSIGNMENT,220,1)="",),FALSE,TRUE),TRUE)</f>
        <v>1</v>
      </c>
      <c r="H227" s="237" t="str">
        <f t="shared" si="7"/>
        <v>Row 220 - All mandatory fields must be given</v>
      </c>
      <c r="J227" s="52" t="b">
        <f>IF(OR(INDEX(OHZ_HAZ_CONSIGNMENT,220,1)&lt;&gt;"",INDEX(OHZ_HAZ_TRANSDOCID,220,1)&lt;&gt;"",INDEX(OHZ_HAZ_PORTOFLOADING,220,1)&lt;&gt;"",INDEX(OHZ_HAZ_PORTOFDISCHARGE,220,1)&lt;&gt;"",INDEX(OHZ_HAZ_DPGREF,220,1)&lt;&gt;"",INDEX(OHZ_HAZ_DGCLASSIFI,220,1)&lt;&gt;"",INDEX(OHZ_HAZ_TEXTUALREF,220,1)&lt;&gt;"",INDEX(OHZ_HAZ_IMOHAZARDC,220,1)&lt;&gt;"",INDEX(OHZ_HAZ_UNNUMBER,220,1)&lt;&gt;"",INDEX(OHZ_HAZ_TOTAMOUNT,220,1)&lt;&gt;"",INDEX(OHZ_HAZ_PACKINGGRO,220,1)&lt;&gt;"",INDEX(OHZ_HAZ_FLASHPOINT,220,1)&lt;&gt;"",INDEX(OHZ_HAZ_MARPOLCODE,220,1)&lt;&gt;"",INDEX(OHZ_HAZ_PACTYPE,220,1)&lt;&gt;"",INDEX(OHZ_HAZ_TOTALPACKA,220,1)&lt;&gt;"",INDEX(OHZ_HAZ_ADDITIONAL,220,1)&lt;&gt;"",INDEX(OHZ_HAZ_EMS,220,1)&lt;&gt;"",INDEX(OHZ_HAZ_SUBSIDIARY,220,1)&lt;&gt;"",INDEX(OHZ_HAZ_UNITTYPE,220,1)&lt;&gt;"",INDEX(OHZ_HAZ_TEUID,220,1)&lt;&gt;"",INDEX(OHZ_HAZ_LOCATION,220,1)&lt;&gt;"",INDEX(OHZ_HAZ_PACKAGES,220,1)&lt;&gt;"",INDEX(OHZ_HAZ_AMOUNT,220,1)&lt;&gt;"",),IF(OR(INDEX(OHZ_HAZ_DGCLASSIFI,220,1)="",INDEX(OHZ_HAZ_TEXTUALREF,220,1)="",INDEX(OHZ_HAZ_TOTAMOUNT,220,1)="",INDEX(OHZ_HAZ_DPGREF,220,1)="",INDEX(OHZ_HAZ_CONSIGNMENT,220,1)="",),FALSE,TRUE),TRUE)</f>
        <v>1</v>
      </c>
      <c r="K227" s="237" t="str">
        <f t="shared" si="8"/>
        <v>Row 220 - All mandatory fields must be given</v>
      </c>
      <c r="L227" s="236" t="s">
        <v>1853</v>
      </c>
      <c r="S227" s="52"/>
      <c r="T227" s="52" t="s">
        <v>2312</v>
      </c>
      <c r="V227" s="52"/>
    </row>
    <row r="228" spans="6:22">
      <c r="F228" s="236" t="s">
        <v>1853</v>
      </c>
      <c r="G228" s="250" t="b">
        <f>IF(OR(INDEX(IHZ_HAZ_CONSIGNMENT,221,1)&lt;&gt;"",INDEX(IHZ_HAZ_TRANSDOCID,221,1)&lt;&gt;"",INDEX(IHZ_HAZ_PORTOFLOADING,221,1)&lt;&gt;"",INDEX(IHZ_HAZ_PORTOFDISCHARGE,221,1)&lt;&gt;"",INDEX(IHZ_HAZ_DPGREF,221,1)&lt;&gt;"",INDEX(IHZ_HAZ_DGCLASSIFI,221,1)&lt;&gt;"",INDEX(IHZ_HAZ_TEXTUALREF,221,1)&lt;&gt;"",INDEX(IHZ_HAZ_IMOHAZARDC,221,1)&lt;&gt;"",INDEX(IHZ_HAZ_UNNUMBER,221,1)&lt;&gt;"",INDEX(IHZ_HAZ_TOTAMOUNT,221,1)&lt;&gt;"",INDEX(IHZ_HAZ_PACKINGGRO,221,1)&lt;&gt;"",INDEX(IHZ_HAZ_FLASHPOINT,221,1)&lt;&gt;"",INDEX(IHZ_HAZ_MARPOLCODE,221,1)&lt;&gt;"",INDEX(IHZ_HAZ_PACTYPE,221,1)&lt;&gt;"",INDEX(IHZ_HAZ_TOTALPACKA,221,1)&lt;&gt;"",INDEX(IHZ_HAZ_ADDITIONAL,221,1)&lt;&gt;"",INDEX(IHZ_HAZ_EMS,221,1)&lt;&gt;"",INDEX(IHZ_HAZ_SUBSIDIARY,221,1)&lt;&gt;"",INDEX(IHZ_HAZ_UNITTYPE,221,1)&lt;&gt;"",INDEX(IHZ_HAZ_TEUID,221,1)&lt;&gt;"",INDEX(IHZ_HAZ_LOCATION,221,1)&lt;&gt;"",INDEX(IHZ_HAZ_PACKAGES,221,1)&lt;&gt;"",INDEX(IHZ_HAZ_AMOUNT,221,1)&lt;&gt;"",),IF(OR(INDEX(IHZ_HAZ_DGCLASSIFI,221,1)="",INDEX(IHZ_HAZ_TEXTUALREF,221,1)="",INDEX(IHZ_HAZ_TOTAMOUNT,221,1)="",INDEX(IHZ_HAZ_DPGREF,221,1)="",INDEX(IHZ_HAZ_CONSIGNMENT,221,1)="",),FALSE,TRUE),TRUE)</f>
        <v>1</v>
      </c>
      <c r="H228" s="237" t="str">
        <f t="shared" si="7"/>
        <v>Row 221 - All mandatory fields must be given</v>
      </c>
      <c r="J228" s="52" t="b">
        <f>IF(OR(INDEX(OHZ_HAZ_CONSIGNMENT,221,1)&lt;&gt;"",INDEX(OHZ_HAZ_TRANSDOCID,221,1)&lt;&gt;"",INDEX(OHZ_HAZ_PORTOFLOADING,221,1)&lt;&gt;"",INDEX(OHZ_HAZ_PORTOFDISCHARGE,221,1)&lt;&gt;"",INDEX(OHZ_HAZ_DPGREF,221,1)&lt;&gt;"",INDEX(OHZ_HAZ_DGCLASSIFI,221,1)&lt;&gt;"",INDEX(OHZ_HAZ_TEXTUALREF,221,1)&lt;&gt;"",INDEX(OHZ_HAZ_IMOHAZARDC,221,1)&lt;&gt;"",INDEX(OHZ_HAZ_UNNUMBER,221,1)&lt;&gt;"",INDEX(OHZ_HAZ_TOTAMOUNT,221,1)&lt;&gt;"",INDEX(OHZ_HAZ_PACKINGGRO,221,1)&lt;&gt;"",INDEX(OHZ_HAZ_FLASHPOINT,221,1)&lt;&gt;"",INDEX(OHZ_HAZ_MARPOLCODE,221,1)&lt;&gt;"",INDEX(OHZ_HAZ_PACTYPE,221,1)&lt;&gt;"",INDEX(OHZ_HAZ_TOTALPACKA,221,1)&lt;&gt;"",INDEX(OHZ_HAZ_ADDITIONAL,221,1)&lt;&gt;"",INDEX(OHZ_HAZ_EMS,221,1)&lt;&gt;"",INDEX(OHZ_HAZ_SUBSIDIARY,221,1)&lt;&gt;"",INDEX(OHZ_HAZ_UNITTYPE,221,1)&lt;&gt;"",INDEX(OHZ_HAZ_TEUID,221,1)&lt;&gt;"",INDEX(OHZ_HAZ_LOCATION,221,1)&lt;&gt;"",INDEX(OHZ_HAZ_PACKAGES,221,1)&lt;&gt;"",INDEX(OHZ_HAZ_AMOUNT,221,1)&lt;&gt;"",),IF(OR(INDEX(OHZ_HAZ_DGCLASSIFI,221,1)="",INDEX(OHZ_HAZ_TEXTUALREF,221,1)="",INDEX(OHZ_HAZ_TOTAMOUNT,221,1)="",INDEX(OHZ_HAZ_DPGREF,221,1)="",INDEX(OHZ_HAZ_CONSIGNMENT,221,1)="",),FALSE,TRUE),TRUE)</f>
        <v>1</v>
      </c>
      <c r="K228" s="237" t="str">
        <f t="shared" si="8"/>
        <v>Row 221 - All mandatory fields must be given</v>
      </c>
      <c r="L228" s="236" t="s">
        <v>1853</v>
      </c>
      <c r="S228" s="52"/>
      <c r="T228" s="52" t="s">
        <v>2313</v>
      </c>
      <c r="V228" s="52"/>
    </row>
    <row r="229" spans="6:22">
      <c r="F229" s="236" t="s">
        <v>1853</v>
      </c>
      <c r="G229" s="250" t="b">
        <f>IF(OR(INDEX(IHZ_HAZ_CONSIGNMENT,222,1)&lt;&gt;"",INDEX(IHZ_HAZ_TRANSDOCID,222,1)&lt;&gt;"",INDEX(IHZ_HAZ_PORTOFLOADING,222,1)&lt;&gt;"",INDEX(IHZ_HAZ_PORTOFDISCHARGE,222,1)&lt;&gt;"",INDEX(IHZ_HAZ_DPGREF,222,1)&lt;&gt;"",INDEX(IHZ_HAZ_DGCLASSIFI,222,1)&lt;&gt;"",INDEX(IHZ_HAZ_TEXTUALREF,222,1)&lt;&gt;"",INDEX(IHZ_HAZ_IMOHAZARDC,222,1)&lt;&gt;"",INDEX(IHZ_HAZ_UNNUMBER,222,1)&lt;&gt;"",INDEX(IHZ_HAZ_TOTAMOUNT,222,1)&lt;&gt;"",INDEX(IHZ_HAZ_PACKINGGRO,222,1)&lt;&gt;"",INDEX(IHZ_HAZ_FLASHPOINT,222,1)&lt;&gt;"",INDEX(IHZ_HAZ_MARPOLCODE,222,1)&lt;&gt;"",INDEX(IHZ_HAZ_PACTYPE,222,1)&lt;&gt;"",INDEX(IHZ_HAZ_TOTALPACKA,222,1)&lt;&gt;"",INDEX(IHZ_HAZ_ADDITIONAL,222,1)&lt;&gt;"",INDEX(IHZ_HAZ_EMS,222,1)&lt;&gt;"",INDEX(IHZ_HAZ_SUBSIDIARY,222,1)&lt;&gt;"",INDEX(IHZ_HAZ_UNITTYPE,222,1)&lt;&gt;"",INDEX(IHZ_HAZ_TEUID,222,1)&lt;&gt;"",INDEX(IHZ_HAZ_LOCATION,222,1)&lt;&gt;"",INDEX(IHZ_HAZ_PACKAGES,222,1)&lt;&gt;"",INDEX(IHZ_HAZ_AMOUNT,222,1)&lt;&gt;"",),IF(OR(INDEX(IHZ_HAZ_DGCLASSIFI,222,1)="",INDEX(IHZ_HAZ_TEXTUALREF,222,1)="",INDEX(IHZ_HAZ_TOTAMOUNT,222,1)="",INDEX(IHZ_HAZ_DPGREF,222,1)="",INDEX(IHZ_HAZ_CONSIGNMENT,222,1)="",),FALSE,TRUE),TRUE)</f>
        <v>1</v>
      </c>
      <c r="H229" s="237" t="str">
        <f t="shared" si="7"/>
        <v>Row 222 - All mandatory fields must be given</v>
      </c>
      <c r="J229" s="52" t="b">
        <f>IF(OR(INDEX(OHZ_HAZ_CONSIGNMENT,222,1)&lt;&gt;"",INDEX(OHZ_HAZ_TRANSDOCID,222,1)&lt;&gt;"",INDEX(OHZ_HAZ_PORTOFLOADING,222,1)&lt;&gt;"",INDEX(OHZ_HAZ_PORTOFDISCHARGE,222,1)&lt;&gt;"",INDEX(OHZ_HAZ_DPGREF,222,1)&lt;&gt;"",INDEX(OHZ_HAZ_DGCLASSIFI,222,1)&lt;&gt;"",INDEX(OHZ_HAZ_TEXTUALREF,222,1)&lt;&gt;"",INDEX(OHZ_HAZ_IMOHAZARDC,222,1)&lt;&gt;"",INDEX(OHZ_HAZ_UNNUMBER,222,1)&lt;&gt;"",INDEX(OHZ_HAZ_TOTAMOUNT,222,1)&lt;&gt;"",INDEX(OHZ_HAZ_PACKINGGRO,222,1)&lt;&gt;"",INDEX(OHZ_HAZ_FLASHPOINT,222,1)&lt;&gt;"",INDEX(OHZ_HAZ_MARPOLCODE,222,1)&lt;&gt;"",INDEX(OHZ_HAZ_PACTYPE,222,1)&lt;&gt;"",INDEX(OHZ_HAZ_TOTALPACKA,222,1)&lt;&gt;"",INDEX(OHZ_HAZ_ADDITIONAL,222,1)&lt;&gt;"",INDEX(OHZ_HAZ_EMS,222,1)&lt;&gt;"",INDEX(OHZ_HAZ_SUBSIDIARY,222,1)&lt;&gt;"",INDEX(OHZ_HAZ_UNITTYPE,222,1)&lt;&gt;"",INDEX(OHZ_HAZ_TEUID,222,1)&lt;&gt;"",INDEX(OHZ_HAZ_LOCATION,222,1)&lt;&gt;"",INDEX(OHZ_HAZ_PACKAGES,222,1)&lt;&gt;"",INDEX(OHZ_HAZ_AMOUNT,222,1)&lt;&gt;"",),IF(OR(INDEX(OHZ_HAZ_DGCLASSIFI,222,1)="",INDEX(OHZ_HAZ_TEXTUALREF,222,1)="",INDEX(OHZ_HAZ_TOTAMOUNT,222,1)="",INDEX(OHZ_HAZ_DPGREF,222,1)="",INDEX(OHZ_HAZ_CONSIGNMENT,222,1)="",),FALSE,TRUE),TRUE)</f>
        <v>1</v>
      </c>
      <c r="K229" s="237" t="str">
        <f t="shared" si="8"/>
        <v>Row 222 - All mandatory fields must be given</v>
      </c>
      <c r="L229" s="236" t="s">
        <v>1853</v>
      </c>
      <c r="S229" s="52"/>
      <c r="T229" s="52" t="s">
        <v>2314</v>
      </c>
      <c r="V229" s="52"/>
    </row>
    <row r="230" spans="6:22">
      <c r="F230" s="236" t="s">
        <v>1853</v>
      </c>
      <c r="G230" s="250" t="b">
        <f>IF(OR(INDEX(IHZ_HAZ_CONSIGNMENT,223,1)&lt;&gt;"",INDEX(IHZ_HAZ_TRANSDOCID,223,1)&lt;&gt;"",INDEX(IHZ_HAZ_PORTOFLOADING,223,1)&lt;&gt;"",INDEX(IHZ_HAZ_PORTOFDISCHARGE,223,1)&lt;&gt;"",INDEX(IHZ_HAZ_DPGREF,223,1)&lt;&gt;"",INDEX(IHZ_HAZ_DGCLASSIFI,223,1)&lt;&gt;"",INDEX(IHZ_HAZ_TEXTUALREF,223,1)&lt;&gt;"",INDEX(IHZ_HAZ_IMOHAZARDC,223,1)&lt;&gt;"",INDEX(IHZ_HAZ_UNNUMBER,223,1)&lt;&gt;"",INDEX(IHZ_HAZ_TOTAMOUNT,223,1)&lt;&gt;"",INDEX(IHZ_HAZ_PACKINGGRO,223,1)&lt;&gt;"",INDEX(IHZ_HAZ_FLASHPOINT,223,1)&lt;&gt;"",INDEX(IHZ_HAZ_MARPOLCODE,223,1)&lt;&gt;"",INDEX(IHZ_HAZ_PACTYPE,223,1)&lt;&gt;"",INDEX(IHZ_HAZ_TOTALPACKA,223,1)&lt;&gt;"",INDEX(IHZ_HAZ_ADDITIONAL,223,1)&lt;&gt;"",INDEX(IHZ_HAZ_EMS,223,1)&lt;&gt;"",INDEX(IHZ_HAZ_SUBSIDIARY,223,1)&lt;&gt;"",INDEX(IHZ_HAZ_UNITTYPE,223,1)&lt;&gt;"",INDEX(IHZ_HAZ_TEUID,223,1)&lt;&gt;"",INDEX(IHZ_HAZ_LOCATION,223,1)&lt;&gt;"",INDEX(IHZ_HAZ_PACKAGES,223,1)&lt;&gt;"",INDEX(IHZ_HAZ_AMOUNT,223,1)&lt;&gt;"",),IF(OR(INDEX(IHZ_HAZ_DGCLASSIFI,223,1)="",INDEX(IHZ_HAZ_TEXTUALREF,223,1)="",INDEX(IHZ_HAZ_TOTAMOUNT,223,1)="",INDEX(IHZ_HAZ_DPGREF,223,1)="",INDEX(IHZ_HAZ_CONSIGNMENT,223,1)="",),FALSE,TRUE),TRUE)</f>
        <v>1</v>
      </c>
      <c r="H230" s="237" t="str">
        <f t="shared" si="7"/>
        <v>Row 223 - All mandatory fields must be given</v>
      </c>
      <c r="J230" s="52" t="b">
        <f>IF(OR(INDEX(OHZ_HAZ_CONSIGNMENT,223,1)&lt;&gt;"",INDEX(OHZ_HAZ_TRANSDOCID,223,1)&lt;&gt;"",INDEX(OHZ_HAZ_PORTOFLOADING,223,1)&lt;&gt;"",INDEX(OHZ_HAZ_PORTOFDISCHARGE,223,1)&lt;&gt;"",INDEX(OHZ_HAZ_DPGREF,223,1)&lt;&gt;"",INDEX(OHZ_HAZ_DGCLASSIFI,223,1)&lt;&gt;"",INDEX(OHZ_HAZ_TEXTUALREF,223,1)&lt;&gt;"",INDEX(OHZ_HAZ_IMOHAZARDC,223,1)&lt;&gt;"",INDEX(OHZ_HAZ_UNNUMBER,223,1)&lt;&gt;"",INDEX(OHZ_HAZ_TOTAMOUNT,223,1)&lt;&gt;"",INDEX(OHZ_HAZ_PACKINGGRO,223,1)&lt;&gt;"",INDEX(OHZ_HAZ_FLASHPOINT,223,1)&lt;&gt;"",INDEX(OHZ_HAZ_MARPOLCODE,223,1)&lt;&gt;"",INDEX(OHZ_HAZ_PACTYPE,223,1)&lt;&gt;"",INDEX(OHZ_HAZ_TOTALPACKA,223,1)&lt;&gt;"",INDEX(OHZ_HAZ_ADDITIONAL,223,1)&lt;&gt;"",INDEX(OHZ_HAZ_EMS,223,1)&lt;&gt;"",INDEX(OHZ_HAZ_SUBSIDIARY,223,1)&lt;&gt;"",INDEX(OHZ_HAZ_UNITTYPE,223,1)&lt;&gt;"",INDEX(OHZ_HAZ_TEUID,223,1)&lt;&gt;"",INDEX(OHZ_HAZ_LOCATION,223,1)&lt;&gt;"",INDEX(OHZ_HAZ_PACKAGES,223,1)&lt;&gt;"",INDEX(OHZ_HAZ_AMOUNT,223,1)&lt;&gt;"",),IF(OR(INDEX(OHZ_HAZ_DGCLASSIFI,223,1)="",INDEX(OHZ_HAZ_TEXTUALREF,223,1)="",INDEX(OHZ_HAZ_TOTAMOUNT,223,1)="",INDEX(OHZ_HAZ_DPGREF,223,1)="",INDEX(OHZ_HAZ_CONSIGNMENT,223,1)="",),FALSE,TRUE),TRUE)</f>
        <v>1</v>
      </c>
      <c r="K230" s="237" t="str">
        <f t="shared" si="8"/>
        <v>Row 223 - All mandatory fields must be given</v>
      </c>
      <c r="L230" s="236" t="s">
        <v>1853</v>
      </c>
      <c r="S230" s="52"/>
      <c r="T230" s="52" t="s">
        <v>2315</v>
      </c>
      <c r="V230" s="52"/>
    </row>
    <row r="231" spans="6:22">
      <c r="F231" s="236" t="s">
        <v>1853</v>
      </c>
      <c r="G231" s="250" t="b">
        <f>IF(OR(INDEX(IHZ_HAZ_CONSIGNMENT,224,1)&lt;&gt;"",INDEX(IHZ_HAZ_TRANSDOCID,224,1)&lt;&gt;"",INDEX(IHZ_HAZ_PORTOFLOADING,224,1)&lt;&gt;"",INDEX(IHZ_HAZ_PORTOFDISCHARGE,224,1)&lt;&gt;"",INDEX(IHZ_HAZ_DPGREF,224,1)&lt;&gt;"",INDEX(IHZ_HAZ_DGCLASSIFI,224,1)&lt;&gt;"",INDEX(IHZ_HAZ_TEXTUALREF,224,1)&lt;&gt;"",INDEX(IHZ_HAZ_IMOHAZARDC,224,1)&lt;&gt;"",INDEX(IHZ_HAZ_UNNUMBER,224,1)&lt;&gt;"",INDEX(IHZ_HAZ_TOTAMOUNT,224,1)&lt;&gt;"",INDEX(IHZ_HAZ_PACKINGGRO,224,1)&lt;&gt;"",INDEX(IHZ_HAZ_FLASHPOINT,224,1)&lt;&gt;"",INDEX(IHZ_HAZ_MARPOLCODE,224,1)&lt;&gt;"",INDEX(IHZ_HAZ_PACTYPE,224,1)&lt;&gt;"",INDEX(IHZ_HAZ_TOTALPACKA,224,1)&lt;&gt;"",INDEX(IHZ_HAZ_ADDITIONAL,224,1)&lt;&gt;"",INDEX(IHZ_HAZ_EMS,224,1)&lt;&gt;"",INDEX(IHZ_HAZ_SUBSIDIARY,224,1)&lt;&gt;"",INDEX(IHZ_HAZ_UNITTYPE,224,1)&lt;&gt;"",INDEX(IHZ_HAZ_TEUID,224,1)&lt;&gt;"",INDEX(IHZ_HAZ_LOCATION,224,1)&lt;&gt;"",INDEX(IHZ_HAZ_PACKAGES,224,1)&lt;&gt;"",INDEX(IHZ_HAZ_AMOUNT,224,1)&lt;&gt;"",),IF(OR(INDEX(IHZ_HAZ_DGCLASSIFI,224,1)="",INDEX(IHZ_HAZ_TEXTUALREF,224,1)="",INDEX(IHZ_HAZ_TOTAMOUNT,224,1)="",INDEX(IHZ_HAZ_DPGREF,224,1)="",INDEX(IHZ_HAZ_CONSIGNMENT,224,1)="",),FALSE,TRUE),TRUE)</f>
        <v>1</v>
      </c>
      <c r="H231" s="237" t="str">
        <f t="shared" si="7"/>
        <v>Row 224 - All mandatory fields must be given</v>
      </c>
      <c r="J231" s="52" t="b">
        <f>IF(OR(INDEX(OHZ_HAZ_CONSIGNMENT,224,1)&lt;&gt;"",INDEX(OHZ_HAZ_TRANSDOCID,224,1)&lt;&gt;"",INDEX(OHZ_HAZ_PORTOFLOADING,224,1)&lt;&gt;"",INDEX(OHZ_HAZ_PORTOFDISCHARGE,224,1)&lt;&gt;"",INDEX(OHZ_HAZ_DPGREF,224,1)&lt;&gt;"",INDEX(OHZ_HAZ_DGCLASSIFI,224,1)&lt;&gt;"",INDEX(OHZ_HAZ_TEXTUALREF,224,1)&lt;&gt;"",INDEX(OHZ_HAZ_IMOHAZARDC,224,1)&lt;&gt;"",INDEX(OHZ_HAZ_UNNUMBER,224,1)&lt;&gt;"",INDEX(OHZ_HAZ_TOTAMOUNT,224,1)&lt;&gt;"",INDEX(OHZ_HAZ_PACKINGGRO,224,1)&lt;&gt;"",INDEX(OHZ_HAZ_FLASHPOINT,224,1)&lt;&gt;"",INDEX(OHZ_HAZ_MARPOLCODE,224,1)&lt;&gt;"",INDEX(OHZ_HAZ_PACTYPE,224,1)&lt;&gt;"",INDEX(OHZ_HAZ_TOTALPACKA,224,1)&lt;&gt;"",INDEX(OHZ_HAZ_ADDITIONAL,224,1)&lt;&gt;"",INDEX(OHZ_HAZ_EMS,224,1)&lt;&gt;"",INDEX(OHZ_HAZ_SUBSIDIARY,224,1)&lt;&gt;"",INDEX(OHZ_HAZ_UNITTYPE,224,1)&lt;&gt;"",INDEX(OHZ_HAZ_TEUID,224,1)&lt;&gt;"",INDEX(OHZ_HAZ_LOCATION,224,1)&lt;&gt;"",INDEX(OHZ_HAZ_PACKAGES,224,1)&lt;&gt;"",INDEX(OHZ_HAZ_AMOUNT,224,1)&lt;&gt;"",),IF(OR(INDEX(OHZ_HAZ_DGCLASSIFI,224,1)="",INDEX(OHZ_HAZ_TEXTUALREF,224,1)="",INDEX(OHZ_HAZ_TOTAMOUNT,224,1)="",INDEX(OHZ_HAZ_DPGREF,224,1)="",INDEX(OHZ_HAZ_CONSIGNMENT,224,1)="",),FALSE,TRUE),TRUE)</f>
        <v>1</v>
      </c>
      <c r="K231" s="237" t="str">
        <f t="shared" si="8"/>
        <v>Row 224 - All mandatory fields must be given</v>
      </c>
      <c r="L231" s="236" t="s">
        <v>1853</v>
      </c>
      <c r="S231" s="52"/>
      <c r="T231" s="52" t="s">
        <v>2316</v>
      </c>
      <c r="V231" s="52"/>
    </row>
    <row r="232" spans="6:22">
      <c r="F232" s="236" t="s">
        <v>1853</v>
      </c>
      <c r="G232" s="250" t="b">
        <f>IF(OR(INDEX(IHZ_HAZ_CONSIGNMENT,225,1)&lt;&gt;"",INDEX(IHZ_HAZ_TRANSDOCID,225,1)&lt;&gt;"",INDEX(IHZ_HAZ_PORTOFLOADING,225,1)&lt;&gt;"",INDEX(IHZ_HAZ_PORTOFDISCHARGE,225,1)&lt;&gt;"",INDEX(IHZ_HAZ_DPGREF,225,1)&lt;&gt;"",INDEX(IHZ_HAZ_DGCLASSIFI,225,1)&lt;&gt;"",INDEX(IHZ_HAZ_TEXTUALREF,225,1)&lt;&gt;"",INDEX(IHZ_HAZ_IMOHAZARDC,225,1)&lt;&gt;"",INDEX(IHZ_HAZ_UNNUMBER,225,1)&lt;&gt;"",INDEX(IHZ_HAZ_TOTAMOUNT,225,1)&lt;&gt;"",INDEX(IHZ_HAZ_PACKINGGRO,225,1)&lt;&gt;"",INDEX(IHZ_HAZ_FLASHPOINT,225,1)&lt;&gt;"",INDEX(IHZ_HAZ_MARPOLCODE,225,1)&lt;&gt;"",INDEX(IHZ_HAZ_PACTYPE,225,1)&lt;&gt;"",INDEX(IHZ_HAZ_TOTALPACKA,225,1)&lt;&gt;"",INDEX(IHZ_HAZ_ADDITIONAL,225,1)&lt;&gt;"",INDEX(IHZ_HAZ_EMS,225,1)&lt;&gt;"",INDEX(IHZ_HAZ_SUBSIDIARY,225,1)&lt;&gt;"",INDEX(IHZ_HAZ_UNITTYPE,225,1)&lt;&gt;"",INDEX(IHZ_HAZ_TEUID,225,1)&lt;&gt;"",INDEX(IHZ_HAZ_LOCATION,225,1)&lt;&gt;"",INDEX(IHZ_HAZ_PACKAGES,225,1)&lt;&gt;"",INDEX(IHZ_HAZ_AMOUNT,225,1)&lt;&gt;"",),IF(OR(INDEX(IHZ_HAZ_DGCLASSIFI,225,1)="",INDEX(IHZ_HAZ_TEXTUALREF,225,1)="",INDEX(IHZ_HAZ_TOTAMOUNT,225,1)="",INDEX(IHZ_HAZ_DPGREF,225,1)="",INDEX(IHZ_HAZ_CONSIGNMENT,225,1)="",),FALSE,TRUE),TRUE)</f>
        <v>1</v>
      </c>
      <c r="H232" s="237" t="str">
        <f t="shared" si="7"/>
        <v>Row 225 - All mandatory fields must be given</v>
      </c>
      <c r="J232" s="52" t="b">
        <f>IF(OR(INDEX(OHZ_HAZ_CONSIGNMENT,225,1)&lt;&gt;"",INDEX(OHZ_HAZ_TRANSDOCID,225,1)&lt;&gt;"",INDEX(OHZ_HAZ_PORTOFLOADING,225,1)&lt;&gt;"",INDEX(OHZ_HAZ_PORTOFDISCHARGE,225,1)&lt;&gt;"",INDEX(OHZ_HAZ_DPGREF,225,1)&lt;&gt;"",INDEX(OHZ_HAZ_DGCLASSIFI,225,1)&lt;&gt;"",INDEX(OHZ_HAZ_TEXTUALREF,225,1)&lt;&gt;"",INDEX(OHZ_HAZ_IMOHAZARDC,225,1)&lt;&gt;"",INDEX(OHZ_HAZ_UNNUMBER,225,1)&lt;&gt;"",INDEX(OHZ_HAZ_TOTAMOUNT,225,1)&lt;&gt;"",INDEX(OHZ_HAZ_PACKINGGRO,225,1)&lt;&gt;"",INDEX(OHZ_HAZ_FLASHPOINT,225,1)&lt;&gt;"",INDEX(OHZ_HAZ_MARPOLCODE,225,1)&lt;&gt;"",INDEX(OHZ_HAZ_PACTYPE,225,1)&lt;&gt;"",INDEX(OHZ_HAZ_TOTALPACKA,225,1)&lt;&gt;"",INDEX(OHZ_HAZ_ADDITIONAL,225,1)&lt;&gt;"",INDEX(OHZ_HAZ_EMS,225,1)&lt;&gt;"",INDEX(OHZ_HAZ_SUBSIDIARY,225,1)&lt;&gt;"",INDEX(OHZ_HAZ_UNITTYPE,225,1)&lt;&gt;"",INDEX(OHZ_HAZ_TEUID,225,1)&lt;&gt;"",INDEX(OHZ_HAZ_LOCATION,225,1)&lt;&gt;"",INDEX(OHZ_HAZ_PACKAGES,225,1)&lt;&gt;"",INDEX(OHZ_HAZ_AMOUNT,225,1)&lt;&gt;"",),IF(OR(INDEX(OHZ_HAZ_DGCLASSIFI,225,1)="",INDEX(OHZ_HAZ_TEXTUALREF,225,1)="",INDEX(OHZ_HAZ_TOTAMOUNT,225,1)="",INDEX(OHZ_HAZ_DPGREF,225,1)="",INDEX(OHZ_HAZ_CONSIGNMENT,225,1)="",),FALSE,TRUE),TRUE)</f>
        <v>1</v>
      </c>
      <c r="K232" s="237" t="str">
        <f t="shared" si="8"/>
        <v>Row 225 - All mandatory fields must be given</v>
      </c>
      <c r="L232" s="236" t="s">
        <v>1853</v>
      </c>
      <c r="S232" s="52"/>
      <c r="T232" s="52" t="s">
        <v>2317</v>
      </c>
      <c r="V232" s="52"/>
    </row>
    <row r="233" spans="6:22">
      <c r="F233" s="236" t="s">
        <v>1853</v>
      </c>
      <c r="G233" s="250" t="b">
        <f>IF(OR(INDEX(IHZ_HAZ_CONSIGNMENT,226,1)&lt;&gt;"",INDEX(IHZ_HAZ_TRANSDOCID,226,1)&lt;&gt;"",INDEX(IHZ_HAZ_PORTOFLOADING,226,1)&lt;&gt;"",INDEX(IHZ_HAZ_PORTOFDISCHARGE,226,1)&lt;&gt;"",INDEX(IHZ_HAZ_DPGREF,226,1)&lt;&gt;"",INDEX(IHZ_HAZ_DGCLASSIFI,226,1)&lt;&gt;"",INDEX(IHZ_HAZ_TEXTUALREF,226,1)&lt;&gt;"",INDEX(IHZ_HAZ_IMOHAZARDC,226,1)&lt;&gt;"",INDEX(IHZ_HAZ_UNNUMBER,226,1)&lt;&gt;"",INDEX(IHZ_HAZ_TOTAMOUNT,226,1)&lt;&gt;"",INDEX(IHZ_HAZ_PACKINGGRO,226,1)&lt;&gt;"",INDEX(IHZ_HAZ_FLASHPOINT,226,1)&lt;&gt;"",INDEX(IHZ_HAZ_MARPOLCODE,226,1)&lt;&gt;"",INDEX(IHZ_HAZ_PACTYPE,226,1)&lt;&gt;"",INDEX(IHZ_HAZ_TOTALPACKA,226,1)&lt;&gt;"",INDEX(IHZ_HAZ_ADDITIONAL,226,1)&lt;&gt;"",INDEX(IHZ_HAZ_EMS,226,1)&lt;&gt;"",INDEX(IHZ_HAZ_SUBSIDIARY,226,1)&lt;&gt;"",INDEX(IHZ_HAZ_UNITTYPE,226,1)&lt;&gt;"",INDEX(IHZ_HAZ_TEUID,226,1)&lt;&gt;"",INDEX(IHZ_HAZ_LOCATION,226,1)&lt;&gt;"",INDEX(IHZ_HAZ_PACKAGES,226,1)&lt;&gt;"",INDEX(IHZ_HAZ_AMOUNT,226,1)&lt;&gt;"",),IF(OR(INDEX(IHZ_HAZ_DGCLASSIFI,226,1)="",INDEX(IHZ_HAZ_TEXTUALREF,226,1)="",INDEX(IHZ_HAZ_TOTAMOUNT,226,1)="",INDEX(IHZ_HAZ_DPGREF,226,1)="",INDEX(IHZ_HAZ_CONSIGNMENT,226,1)="",),FALSE,TRUE),TRUE)</f>
        <v>1</v>
      </c>
      <c r="H233" s="237" t="str">
        <f t="shared" si="7"/>
        <v>Row 226 - All mandatory fields must be given</v>
      </c>
      <c r="J233" s="52" t="b">
        <f>IF(OR(INDEX(OHZ_HAZ_CONSIGNMENT,226,1)&lt;&gt;"",INDEX(OHZ_HAZ_TRANSDOCID,226,1)&lt;&gt;"",INDEX(OHZ_HAZ_PORTOFLOADING,226,1)&lt;&gt;"",INDEX(OHZ_HAZ_PORTOFDISCHARGE,226,1)&lt;&gt;"",INDEX(OHZ_HAZ_DPGREF,226,1)&lt;&gt;"",INDEX(OHZ_HAZ_DGCLASSIFI,226,1)&lt;&gt;"",INDEX(OHZ_HAZ_TEXTUALREF,226,1)&lt;&gt;"",INDEX(OHZ_HAZ_IMOHAZARDC,226,1)&lt;&gt;"",INDEX(OHZ_HAZ_UNNUMBER,226,1)&lt;&gt;"",INDEX(OHZ_HAZ_TOTAMOUNT,226,1)&lt;&gt;"",INDEX(OHZ_HAZ_PACKINGGRO,226,1)&lt;&gt;"",INDEX(OHZ_HAZ_FLASHPOINT,226,1)&lt;&gt;"",INDEX(OHZ_HAZ_MARPOLCODE,226,1)&lt;&gt;"",INDEX(OHZ_HAZ_PACTYPE,226,1)&lt;&gt;"",INDEX(OHZ_HAZ_TOTALPACKA,226,1)&lt;&gt;"",INDEX(OHZ_HAZ_ADDITIONAL,226,1)&lt;&gt;"",INDEX(OHZ_HAZ_EMS,226,1)&lt;&gt;"",INDEX(OHZ_HAZ_SUBSIDIARY,226,1)&lt;&gt;"",INDEX(OHZ_HAZ_UNITTYPE,226,1)&lt;&gt;"",INDEX(OHZ_HAZ_TEUID,226,1)&lt;&gt;"",INDEX(OHZ_HAZ_LOCATION,226,1)&lt;&gt;"",INDEX(OHZ_HAZ_PACKAGES,226,1)&lt;&gt;"",INDEX(OHZ_HAZ_AMOUNT,226,1)&lt;&gt;"",),IF(OR(INDEX(OHZ_HAZ_DGCLASSIFI,226,1)="",INDEX(OHZ_HAZ_TEXTUALREF,226,1)="",INDEX(OHZ_HAZ_TOTAMOUNT,226,1)="",INDEX(OHZ_HAZ_DPGREF,226,1)="",INDEX(OHZ_HAZ_CONSIGNMENT,226,1)="",),FALSE,TRUE),TRUE)</f>
        <v>1</v>
      </c>
      <c r="K233" s="237" t="str">
        <f t="shared" si="8"/>
        <v>Row 226 - All mandatory fields must be given</v>
      </c>
      <c r="L233" s="236" t="s">
        <v>1853</v>
      </c>
      <c r="S233" s="52"/>
      <c r="T233" s="52" t="s">
        <v>2318</v>
      </c>
      <c r="V233" s="52"/>
    </row>
    <row r="234" spans="6:22">
      <c r="F234" s="236" t="s">
        <v>1853</v>
      </c>
      <c r="G234" s="250" t="b">
        <f>IF(OR(INDEX(IHZ_HAZ_CONSIGNMENT,227,1)&lt;&gt;"",INDEX(IHZ_HAZ_TRANSDOCID,227,1)&lt;&gt;"",INDEX(IHZ_HAZ_PORTOFLOADING,227,1)&lt;&gt;"",INDEX(IHZ_HAZ_PORTOFDISCHARGE,227,1)&lt;&gt;"",INDEX(IHZ_HAZ_DPGREF,227,1)&lt;&gt;"",INDEX(IHZ_HAZ_DGCLASSIFI,227,1)&lt;&gt;"",INDEX(IHZ_HAZ_TEXTUALREF,227,1)&lt;&gt;"",INDEX(IHZ_HAZ_IMOHAZARDC,227,1)&lt;&gt;"",INDEX(IHZ_HAZ_UNNUMBER,227,1)&lt;&gt;"",INDEX(IHZ_HAZ_TOTAMOUNT,227,1)&lt;&gt;"",INDEX(IHZ_HAZ_PACKINGGRO,227,1)&lt;&gt;"",INDEX(IHZ_HAZ_FLASHPOINT,227,1)&lt;&gt;"",INDEX(IHZ_HAZ_MARPOLCODE,227,1)&lt;&gt;"",INDEX(IHZ_HAZ_PACTYPE,227,1)&lt;&gt;"",INDEX(IHZ_HAZ_TOTALPACKA,227,1)&lt;&gt;"",INDEX(IHZ_HAZ_ADDITIONAL,227,1)&lt;&gt;"",INDEX(IHZ_HAZ_EMS,227,1)&lt;&gt;"",INDEX(IHZ_HAZ_SUBSIDIARY,227,1)&lt;&gt;"",INDEX(IHZ_HAZ_UNITTYPE,227,1)&lt;&gt;"",INDEX(IHZ_HAZ_TEUID,227,1)&lt;&gt;"",INDEX(IHZ_HAZ_LOCATION,227,1)&lt;&gt;"",INDEX(IHZ_HAZ_PACKAGES,227,1)&lt;&gt;"",INDEX(IHZ_HAZ_AMOUNT,227,1)&lt;&gt;"",),IF(OR(INDEX(IHZ_HAZ_DGCLASSIFI,227,1)="",INDEX(IHZ_HAZ_TEXTUALREF,227,1)="",INDEX(IHZ_HAZ_TOTAMOUNT,227,1)="",INDEX(IHZ_HAZ_DPGREF,227,1)="",INDEX(IHZ_HAZ_CONSIGNMENT,227,1)="",),FALSE,TRUE),TRUE)</f>
        <v>1</v>
      </c>
      <c r="H234" s="237" t="str">
        <f t="shared" si="7"/>
        <v>Row 227 - All mandatory fields must be given</v>
      </c>
      <c r="J234" s="52" t="b">
        <f>IF(OR(INDEX(OHZ_HAZ_CONSIGNMENT,227,1)&lt;&gt;"",INDEX(OHZ_HAZ_TRANSDOCID,227,1)&lt;&gt;"",INDEX(OHZ_HAZ_PORTOFLOADING,227,1)&lt;&gt;"",INDEX(OHZ_HAZ_PORTOFDISCHARGE,227,1)&lt;&gt;"",INDEX(OHZ_HAZ_DPGREF,227,1)&lt;&gt;"",INDEX(OHZ_HAZ_DGCLASSIFI,227,1)&lt;&gt;"",INDEX(OHZ_HAZ_TEXTUALREF,227,1)&lt;&gt;"",INDEX(OHZ_HAZ_IMOHAZARDC,227,1)&lt;&gt;"",INDEX(OHZ_HAZ_UNNUMBER,227,1)&lt;&gt;"",INDEX(OHZ_HAZ_TOTAMOUNT,227,1)&lt;&gt;"",INDEX(OHZ_HAZ_PACKINGGRO,227,1)&lt;&gt;"",INDEX(OHZ_HAZ_FLASHPOINT,227,1)&lt;&gt;"",INDEX(OHZ_HAZ_MARPOLCODE,227,1)&lt;&gt;"",INDEX(OHZ_HAZ_PACTYPE,227,1)&lt;&gt;"",INDEX(OHZ_HAZ_TOTALPACKA,227,1)&lt;&gt;"",INDEX(OHZ_HAZ_ADDITIONAL,227,1)&lt;&gt;"",INDEX(OHZ_HAZ_EMS,227,1)&lt;&gt;"",INDEX(OHZ_HAZ_SUBSIDIARY,227,1)&lt;&gt;"",INDEX(OHZ_HAZ_UNITTYPE,227,1)&lt;&gt;"",INDEX(OHZ_HAZ_TEUID,227,1)&lt;&gt;"",INDEX(OHZ_HAZ_LOCATION,227,1)&lt;&gt;"",INDEX(OHZ_HAZ_PACKAGES,227,1)&lt;&gt;"",INDEX(OHZ_HAZ_AMOUNT,227,1)&lt;&gt;"",),IF(OR(INDEX(OHZ_HAZ_DGCLASSIFI,227,1)="",INDEX(OHZ_HAZ_TEXTUALREF,227,1)="",INDEX(OHZ_HAZ_TOTAMOUNT,227,1)="",INDEX(OHZ_HAZ_DPGREF,227,1)="",INDEX(OHZ_HAZ_CONSIGNMENT,227,1)="",),FALSE,TRUE),TRUE)</f>
        <v>1</v>
      </c>
      <c r="K234" s="237" t="str">
        <f t="shared" si="8"/>
        <v>Row 227 - All mandatory fields must be given</v>
      </c>
      <c r="L234" s="236" t="s">
        <v>1853</v>
      </c>
      <c r="S234" s="52"/>
      <c r="T234" s="52" t="s">
        <v>2319</v>
      </c>
      <c r="V234" s="52"/>
    </row>
    <row r="235" spans="6:22">
      <c r="F235" s="236" t="s">
        <v>1853</v>
      </c>
      <c r="G235" s="250" t="b">
        <f>IF(OR(INDEX(IHZ_HAZ_CONSIGNMENT,228,1)&lt;&gt;"",INDEX(IHZ_HAZ_TRANSDOCID,228,1)&lt;&gt;"",INDEX(IHZ_HAZ_PORTOFLOADING,228,1)&lt;&gt;"",INDEX(IHZ_HAZ_PORTOFDISCHARGE,228,1)&lt;&gt;"",INDEX(IHZ_HAZ_DPGREF,228,1)&lt;&gt;"",INDEX(IHZ_HAZ_DGCLASSIFI,228,1)&lt;&gt;"",INDEX(IHZ_HAZ_TEXTUALREF,228,1)&lt;&gt;"",INDEX(IHZ_HAZ_IMOHAZARDC,228,1)&lt;&gt;"",INDEX(IHZ_HAZ_UNNUMBER,228,1)&lt;&gt;"",INDEX(IHZ_HAZ_TOTAMOUNT,228,1)&lt;&gt;"",INDEX(IHZ_HAZ_PACKINGGRO,228,1)&lt;&gt;"",INDEX(IHZ_HAZ_FLASHPOINT,228,1)&lt;&gt;"",INDEX(IHZ_HAZ_MARPOLCODE,228,1)&lt;&gt;"",INDEX(IHZ_HAZ_PACTYPE,228,1)&lt;&gt;"",INDEX(IHZ_HAZ_TOTALPACKA,228,1)&lt;&gt;"",INDEX(IHZ_HAZ_ADDITIONAL,228,1)&lt;&gt;"",INDEX(IHZ_HAZ_EMS,228,1)&lt;&gt;"",INDEX(IHZ_HAZ_SUBSIDIARY,228,1)&lt;&gt;"",INDEX(IHZ_HAZ_UNITTYPE,228,1)&lt;&gt;"",INDEX(IHZ_HAZ_TEUID,228,1)&lt;&gt;"",INDEX(IHZ_HAZ_LOCATION,228,1)&lt;&gt;"",INDEX(IHZ_HAZ_PACKAGES,228,1)&lt;&gt;"",INDEX(IHZ_HAZ_AMOUNT,228,1)&lt;&gt;"",),IF(OR(INDEX(IHZ_HAZ_DGCLASSIFI,228,1)="",INDEX(IHZ_HAZ_TEXTUALREF,228,1)="",INDEX(IHZ_HAZ_TOTAMOUNT,228,1)="",INDEX(IHZ_HAZ_DPGREF,228,1)="",INDEX(IHZ_HAZ_CONSIGNMENT,228,1)="",),FALSE,TRUE),TRUE)</f>
        <v>1</v>
      </c>
      <c r="H235" s="237" t="str">
        <f t="shared" si="7"/>
        <v>Row 228 - All mandatory fields must be given</v>
      </c>
      <c r="J235" s="52" t="b">
        <f>IF(OR(INDEX(OHZ_HAZ_CONSIGNMENT,228,1)&lt;&gt;"",INDEX(OHZ_HAZ_TRANSDOCID,228,1)&lt;&gt;"",INDEX(OHZ_HAZ_PORTOFLOADING,228,1)&lt;&gt;"",INDEX(OHZ_HAZ_PORTOFDISCHARGE,228,1)&lt;&gt;"",INDEX(OHZ_HAZ_DPGREF,228,1)&lt;&gt;"",INDEX(OHZ_HAZ_DGCLASSIFI,228,1)&lt;&gt;"",INDEX(OHZ_HAZ_TEXTUALREF,228,1)&lt;&gt;"",INDEX(OHZ_HAZ_IMOHAZARDC,228,1)&lt;&gt;"",INDEX(OHZ_HAZ_UNNUMBER,228,1)&lt;&gt;"",INDEX(OHZ_HAZ_TOTAMOUNT,228,1)&lt;&gt;"",INDEX(OHZ_HAZ_PACKINGGRO,228,1)&lt;&gt;"",INDEX(OHZ_HAZ_FLASHPOINT,228,1)&lt;&gt;"",INDEX(OHZ_HAZ_MARPOLCODE,228,1)&lt;&gt;"",INDEX(OHZ_HAZ_PACTYPE,228,1)&lt;&gt;"",INDEX(OHZ_HAZ_TOTALPACKA,228,1)&lt;&gt;"",INDEX(OHZ_HAZ_ADDITIONAL,228,1)&lt;&gt;"",INDEX(OHZ_HAZ_EMS,228,1)&lt;&gt;"",INDEX(OHZ_HAZ_SUBSIDIARY,228,1)&lt;&gt;"",INDEX(OHZ_HAZ_UNITTYPE,228,1)&lt;&gt;"",INDEX(OHZ_HAZ_TEUID,228,1)&lt;&gt;"",INDEX(OHZ_HAZ_LOCATION,228,1)&lt;&gt;"",INDEX(OHZ_HAZ_PACKAGES,228,1)&lt;&gt;"",INDEX(OHZ_HAZ_AMOUNT,228,1)&lt;&gt;"",),IF(OR(INDEX(OHZ_HAZ_DGCLASSIFI,228,1)="",INDEX(OHZ_HAZ_TEXTUALREF,228,1)="",INDEX(OHZ_HAZ_TOTAMOUNT,228,1)="",INDEX(OHZ_HAZ_DPGREF,228,1)="",INDEX(OHZ_HAZ_CONSIGNMENT,228,1)="",),FALSE,TRUE),TRUE)</f>
        <v>1</v>
      </c>
      <c r="K235" s="237" t="str">
        <f t="shared" si="8"/>
        <v>Row 228 - All mandatory fields must be given</v>
      </c>
      <c r="L235" s="236" t="s">
        <v>1853</v>
      </c>
      <c r="S235" s="52"/>
      <c r="T235" s="52" t="s">
        <v>2320</v>
      </c>
      <c r="V235" s="52"/>
    </row>
    <row r="236" spans="6:22">
      <c r="F236" s="236" t="s">
        <v>1853</v>
      </c>
      <c r="G236" s="250" t="b">
        <f>IF(OR(INDEX(IHZ_HAZ_CONSIGNMENT,229,1)&lt;&gt;"",INDEX(IHZ_HAZ_TRANSDOCID,229,1)&lt;&gt;"",INDEX(IHZ_HAZ_PORTOFLOADING,229,1)&lt;&gt;"",INDEX(IHZ_HAZ_PORTOFDISCHARGE,229,1)&lt;&gt;"",INDEX(IHZ_HAZ_DPGREF,229,1)&lt;&gt;"",INDEX(IHZ_HAZ_DGCLASSIFI,229,1)&lt;&gt;"",INDEX(IHZ_HAZ_TEXTUALREF,229,1)&lt;&gt;"",INDEX(IHZ_HAZ_IMOHAZARDC,229,1)&lt;&gt;"",INDEX(IHZ_HAZ_UNNUMBER,229,1)&lt;&gt;"",INDEX(IHZ_HAZ_TOTAMOUNT,229,1)&lt;&gt;"",INDEX(IHZ_HAZ_PACKINGGRO,229,1)&lt;&gt;"",INDEX(IHZ_HAZ_FLASHPOINT,229,1)&lt;&gt;"",INDEX(IHZ_HAZ_MARPOLCODE,229,1)&lt;&gt;"",INDEX(IHZ_HAZ_PACTYPE,229,1)&lt;&gt;"",INDEX(IHZ_HAZ_TOTALPACKA,229,1)&lt;&gt;"",INDEX(IHZ_HAZ_ADDITIONAL,229,1)&lt;&gt;"",INDEX(IHZ_HAZ_EMS,229,1)&lt;&gt;"",INDEX(IHZ_HAZ_SUBSIDIARY,229,1)&lt;&gt;"",INDEX(IHZ_HAZ_UNITTYPE,229,1)&lt;&gt;"",INDEX(IHZ_HAZ_TEUID,229,1)&lt;&gt;"",INDEX(IHZ_HAZ_LOCATION,229,1)&lt;&gt;"",INDEX(IHZ_HAZ_PACKAGES,229,1)&lt;&gt;"",INDEX(IHZ_HAZ_AMOUNT,229,1)&lt;&gt;"",),IF(OR(INDEX(IHZ_HAZ_DGCLASSIFI,229,1)="",INDEX(IHZ_HAZ_TEXTUALREF,229,1)="",INDEX(IHZ_HAZ_TOTAMOUNT,229,1)="",INDEX(IHZ_HAZ_DPGREF,229,1)="",INDEX(IHZ_HAZ_CONSIGNMENT,229,1)="",),FALSE,TRUE),TRUE)</f>
        <v>1</v>
      </c>
      <c r="H236" s="237" t="str">
        <f t="shared" si="7"/>
        <v>Row 229 - All mandatory fields must be given</v>
      </c>
      <c r="J236" s="52" t="b">
        <f>IF(OR(INDEX(OHZ_HAZ_CONSIGNMENT,229,1)&lt;&gt;"",INDEX(OHZ_HAZ_TRANSDOCID,229,1)&lt;&gt;"",INDEX(OHZ_HAZ_PORTOFLOADING,229,1)&lt;&gt;"",INDEX(OHZ_HAZ_PORTOFDISCHARGE,229,1)&lt;&gt;"",INDEX(OHZ_HAZ_DPGREF,229,1)&lt;&gt;"",INDEX(OHZ_HAZ_DGCLASSIFI,229,1)&lt;&gt;"",INDEX(OHZ_HAZ_TEXTUALREF,229,1)&lt;&gt;"",INDEX(OHZ_HAZ_IMOHAZARDC,229,1)&lt;&gt;"",INDEX(OHZ_HAZ_UNNUMBER,229,1)&lt;&gt;"",INDEX(OHZ_HAZ_TOTAMOUNT,229,1)&lt;&gt;"",INDEX(OHZ_HAZ_PACKINGGRO,229,1)&lt;&gt;"",INDEX(OHZ_HAZ_FLASHPOINT,229,1)&lt;&gt;"",INDEX(OHZ_HAZ_MARPOLCODE,229,1)&lt;&gt;"",INDEX(OHZ_HAZ_PACTYPE,229,1)&lt;&gt;"",INDEX(OHZ_HAZ_TOTALPACKA,229,1)&lt;&gt;"",INDEX(OHZ_HAZ_ADDITIONAL,229,1)&lt;&gt;"",INDEX(OHZ_HAZ_EMS,229,1)&lt;&gt;"",INDEX(OHZ_HAZ_SUBSIDIARY,229,1)&lt;&gt;"",INDEX(OHZ_HAZ_UNITTYPE,229,1)&lt;&gt;"",INDEX(OHZ_HAZ_TEUID,229,1)&lt;&gt;"",INDEX(OHZ_HAZ_LOCATION,229,1)&lt;&gt;"",INDEX(OHZ_HAZ_PACKAGES,229,1)&lt;&gt;"",INDEX(OHZ_HAZ_AMOUNT,229,1)&lt;&gt;"",),IF(OR(INDEX(OHZ_HAZ_DGCLASSIFI,229,1)="",INDEX(OHZ_HAZ_TEXTUALREF,229,1)="",INDEX(OHZ_HAZ_TOTAMOUNT,229,1)="",INDEX(OHZ_HAZ_DPGREF,229,1)="",INDEX(OHZ_HAZ_CONSIGNMENT,229,1)="",),FALSE,TRUE),TRUE)</f>
        <v>1</v>
      </c>
      <c r="K236" s="237" t="str">
        <f t="shared" si="8"/>
        <v>Row 229 - All mandatory fields must be given</v>
      </c>
      <c r="L236" s="236" t="s">
        <v>1853</v>
      </c>
      <c r="S236" s="52"/>
      <c r="T236" s="52" t="s">
        <v>2321</v>
      </c>
      <c r="V236" s="52"/>
    </row>
    <row r="237" spans="6:22">
      <c r="F237" s="236" t="s">
        <v>1853</v>
      </c>
      <c r="G237" s="250" t="b">
        <f>IF(OR(INDEX(IHZ_HAZ_CONSIGNMENT,230,1)&lt;&gt;"",INDEX(IHZ_HAZ_TRANSDOCID,230,1)&lt;&gt;"",INDEX(IHZ_HAZ_PORTOFLOADING,230,1)&lt;&gt;"",INDEX(IHZ_HAZ_PORTOFDISCHARGE,230,1)&lt;&gt;"",INDEX(IHZ_HAZ_DPGREF,230,1)&lt;&gt;"",INDEX(IHZ_HAZ_DGCLASSIFI,230,1)&lt;&gt;"",INDEX(IHZ_HAZ_TEXTUALREF,230,1)&lt;&gt;"",INDEX(IHZ_HAZ_IMOHAZARDC,230,1)&lt;&gt;"",INDEX(IHZ_HAZ_UNNUMBER,230,1)&lt;&gt;"",INDEX(IHZ_HAZ_TOTAMOUNT,230,1)&lt;&gt;"",INDEX(IHZ_HAZ_PACKINGGRO,230,1)&lt;&gt;"",INDEX(IHZ_HAZ_FLASHPOINT,230,1)&lt;&gt;"",INDEX(IHZ_HAZ_MARPOLCODE,230,1)&lt;&gt;"",INDEX(IHZ_HAZ_PACTYPE,230,1)&lt;&gt;"",INDEX(IHZ_HAZ_TOTALPACKA,230,1)&lt;&gt;"",INDEX(IHZ_HAZ_ADDITIONAL,230,1)&lt;&gt;"",INDEX(IHZ_HAZ_EMS,230,1)&lt;&gt;"",INDEX(IHZ_HAZ_SUBSIDIARY,230,1)&lt;&gt;"",INDEX(IHZ_HAZ_UNITTYPE,230,1)&lt;&gt;"",INDEX(IHZ_HAZ_TEUID,230,1)&lt;&gt;"",INDEX(IHZ_HAZ_LOCATION,230,1)&lt;&gt;"",INDEX(IHZ_HAZ_PACKAGES,230,1)&lt;&gt;"",INDEX(IHZ_HAZ_AMOUNT,230,1)&lt;&gt;"",),IF(OR(INDEX(IHZ_HAZ_DGCLASSIFI,230,1)="",INDEX(IHZ_HAZ_TEXTUALREF,230,1)="",INDEX(IHZ_HAZ_TOTAMOUNT,230,1)="",INDEX(IHZ_HAZ_DPGREF,230,1)="",INDEX(IHZ_HAZ_CONSIGNMENT,230,1)="",),FALSE,TRUE),TRUE)</f>
        <v>1</v>
      </c>
      <c r="H237" s="237" t="str">
        <f t="shared" si="7"/>
        <v>Row 230 - All mandatory fields must be given</v>
      </c>
      <c r="J237" s="52" t="b">
        <f>IF(OR(INDEX(OHZ_HAZ_CONSIGNMENT,230,1)&lt;&gt;"",INDEX(OHZ_HAZ_TRANSDOCID,230,1)&lt;&gt;"",INDEX(OHZ_HAZ_PORTOFLOADING,230,1)&lt;&gt;"",INDEX(OHZ_HAZ_PORTOFDISCHARGE,230,1)&lt;&gt;"",INDEX(OHZ_HAZ_DPGREF,230,1)&lt;&gt;"",INDEX(OHZ_HAZ_DGCLASSIFI,230,1)&lt;&gt;"",INDEX(OHZ_HAZ_TEXTUALREF,230,1)&lt;&gt;"",INDEX(OHZ_HAZ_IMOHAZARDC,230,1)&lt;&gt;"",INDEX(OHZ_HAZ_UNNUMBER,230,1)&lt;&gt;"",INDEX(OHZ_HAZ_TOTAMOUNT,230,1)&lt;&gt;"",INDEX(OHZ_HAZ_PACKINGGRO,230,1)&lt;&gt;"",INDEX(OHZ_HAZ_FLASHPOINT,230,1)&lt;&gt;"",INDEX(OHZ_HAZ_MARPOLCODE,230,1)&lt;&gt;"",INDEX(OHZ_HAZ_PACTYPE,230,1)&lt;&gt;"",INDEX(OHZ_HAZ_TOTALPACKA,230,1)&lt;&gt;"",INDEX(OHZ_HAZ_ADDITIONAL,230,1)&lt;&gt;"",INDEX(OHZ_HAZ_EMS,230,1)&lt;&gt;"",INDEX(OHZ_HAZ_SUBSIDIARY,230,1)&lt;&gt;"",INDEX(OHZ_HAZ_UNITTYPE,230,1)&lt;&gt;"",INDEX(OHZ_HAZ_TEUID,230,1)&lt;&gt;"",INDEX(OHZ_HAZ_LOCATION,230,1)&lt;&gt;"",INDEX(OHZ_HAZ_PACKAGES,230,1)&lt;&gt;"",INDEX(OHZ_HAZ_AMOUNT,230,1)&lt;&gt;"",),IF(OR(INDEX(OHZ_HAZ_DGCLASSIFI,230,1)="",INDEX(OHZ_HAZ_TEXTUALREF,230,1)="",INDEX(OHZ_HAZ_TOTAMOUNT,230,1)="",INDEX(OHZ_HAZ_DPGREF,230,1)="",INDEX(OHZ_HAZ_CONSIGNMENT,230,1)="",),FALSE,TRUE),TRUE)</f>
        <v>1</v>
      </c>
      <c r="K237" s="237" t="str">
        <f t="shared" si="8"/>
        <v>Row 230 - All mandatory fields must be given</v>
      </c>
      <c r="L237" s="236" t="s">
        <v>1853</v>
      </c>
      <c r="S237" s="52"/>
      <c r="T237" s="52" t="s">
        <v>2322</v>
      </c>
      <c r="V237" s="52"/>
    </row>
    <row r="238" spans="6:22">
      <c r="F238" s="236" t="s">
        <v>1853</v>
      </c>
      <c r="G238" s="250" t="b">
        <f>IF(OR(INDEX(IHZ_HAZ_CONSIGNMENT,231,1)&lt;&gt;"",INDEX(IHZ_HAZ_TRANSDOCID,231,1)&lt;&gt;"",INDEX(IHZ_HAZ_PORTOFLOADING,231,1)&lt;&gt;"",INDEX(IHZ_HAZ_PORTOFDISCHARGE,231,1)&lt;&gt;"",INDEX(IHZ_HAZ_DPGREF,231,1)&lt;&gt;"",INDEX(IHZ_HAZ_DGCLASSIFI,231,1)&lt;&gt;"",INDEX(IHZ_HAZ_TEXTUALREF,231,1)&lt;&gt;"",INDEX(IHZ_HAZ_IMOHAZARDC,231,1)&lt;&gt;"",INDEX(IHZ_HAZ_UNNUMBER,231,1)&lt;&gt;"",INDEX(IHZ_HAZ_TOTAMOUNT,231,1)&lt;&gt;"",INDEX(IHZ_HAZ_PACKINGGRO,231,1)&lt;&gt;"",INDEX(IHZ_HAZ_FLASHPOINT,231,1)&lt;&gt;"",INDEX(IHZ_HAZ_MARPOLCODE,231,1)&lt;&gt;"",INDEX(IHZ_HAZ_PACTYPE,231,1)&lt;&gt;"",INDEX(IHZ_HAZ_TOTALPACKA,231,1)&lt;&gt;"",INDEX(IHZ_HAZ_ADDITIONAL,231,1)&lt;&gt;"",INDEX(IHZ_HAZ_EMS,231,1)&lt;&gt;"",INDEX(IHZ_HAZ_SUBSIDIARY,231,1)&lt;&gt;"",INDEX(IHZ_HAZ_UNITTYPE,231,1)&lt;&gt;"",INDEX(IHZ_HAZ_TEUID,231,1)&lt;&gt;"",INDEX(IHZ_HAZ_LOCATION,231,1)&lt;&gt;"",INDEX(IHZ_HAZ_PACKAGES,231,1)&lt;&gt;"",INDEX(IHZ_HAZ_AMOUNT,231,1)&lt;&gt;"",),IF(OR(INDEX(IHZ_HAZ_DGCLASSIFI,231,1)="",INDEX(IHZ_HAZ_TEXTUALREF,231,1)="",INDEX(IHZ_HAZ_TOTAMOUNT,231,1)="",INDEX(IHZ_HAZ_DPGREF,231,1)="",INDEX(IHZ_HAZ_CONSIGNMENT,231,1)="",),FALSE,TRUE),TRUE)</f>
        <v>1</v>
      </c>
      <c r="H238" s="237" t="str">
        <f t="shared" si="7"/>
        <v>Row 231 - All mandatory fields must be given</v>
      </c>
      <c r="J238" s="52" t="b">
        <f>IF(OR(INDEX(OHZ_HAZ_CONSIGNMENT,231,1)&lt;&gt;"",INDEX(OHZ_HAZ_TRANSDOCID,231,1)&lt;&gt;"",INDEX(OHZ_HAZ_PORTOFLOADING,231,1)&lt;&gt;"",INDEX(OHZ_HAZ_PORTOFDISCHARGE,231,1)&lt;&gt;"",INDEX(OHZ_HAZ_DPGREF,231,1)&lt;&gt;"",INDEX(OHZ_HAZ_DGCLASSIFI,231,1)&lt;&gt;"",INDEX(OHZ_HAZ_TEXTUALREF,231,1)&lt;&gt;"",INDEX(OHZ_HAZ_IMOHAZARDC,231,1)&lt;&gt;"",INDEX(OHZ_HAZ_UNNUMBER,231,1)&lt;&gt;"",INDEX(OHZ_HAZ_TOTAMOUNT,231,1)&lt;&gt;"",INDEX(OHZ_HAZ_PACKINGGRO,231,1)&lt;&gt;"",INDEX(OHZ_HAZ_FLASHPOINT,231,1)&lt;&gt;"",INDEX(OHZ_HAZ_MARPOLCODE,231,1)&lt;&gt;"",INDEX(OHZ_HAZ_PACTYPE,231,1)&lt;&gt;"",INDEX(OHZ_HAZ_TOTALPACKA,231,1)&lt;&gt;"",INDEX(OHZ_HAZ_ADDITIONAL,231,1)&lt;&gt;"",INDEX(OHZ_HAZ_EMS,231,1)&lt;&gt;"",INDEX(OHZ_HAZ_SUBSIDIARY,231,1)&lt;&gt;"",INDEX(OHZ_HAZ_UNITTYPE,231,1)&lt;&gt;"",INDEX(OHZ_HAZ_TEUID,231,1)&lt;&gt;"",INDEX(OHZ_HAZ_LOCATION,231,1)&lt;&gt;"",INDEX(OHZ_HAZ_PACKAGES,231,1)&lt;&gt;"",INDEX(OHZ_HAZ_AMOUNT,231,1)&lt;&gt;"",),IF(OR(INDEX(OHZ_HAZ_DGCLASSIFI,231,1)="",INDEX(OHZ_HAZ_TEXTUALREF,231,1)="",INDEX(OHZ_HAZ_TOTAMOUNT,231,1)="",INDEX(OHZ_HAZ_DPGREF,231,1)="",INDEX(OHZ_HAZ_CONSIGNMENT,231,1)="",),FALSE,TRUE),TRUE)</f>
        <v>1</v>
      </c>
      <c r="K238" s="237" t="str">
        <f t="shared" si="8"/>
        <v>Row 231 - All mandatory fields must be given</v>
      </c>
      <c r="L238" s="236" t="s">
        <v>1853</v>
      </c>
      <c r="S238" s="52"/>
      <c r="T238" s="52" t="s">
        <v>2323</v>
      </c>
      <c r="V238" s="52"/>
    </row>
    <row r="239" spans="6:22">
      <c r="F239" s="236" t="s">
        <v>1853</v>
      </c>
      <c r="G239" s="250" t="b">
        <f>IF(OR(INDEX(IHZ_HAZ_CONSIGNMENT,232,1)&lt;&gt;"",INDEX(IHZ_HAZ_TRANSDOCID,232,1)&lt;&gt;"",INDEX(IHZ_HAZ_PORTOFLOADING,232,1)&lt;&gt;"",INDEX(IHZ_HAZ_PORTOFDISCHARGE,232,1)&lt;&gt;"",INDEX(IHZ_HAZ_DPGREF,232,1)&lt;&gt;"",INDEX(IHZ_HAZ_DGCLASSIFI,232,1)&lt;&gt;"",INDEX(IHZ_HAZ_TEXTUALREF,232,1)&lt;&gt;"",INDEX(IHZ_HAZ_IMOHAZARDC,232,1)&lt;&gt;"",INDEX(IHZ_HAZ_UNNUMBER,232,1)&lt;&gt;"",INDEX(IHZ_HAZ_TOTAMOUNT,232,1)&lt;&gt;"",INDEX(IHZ_HAZ_PACKINGGRO,232,1)&lt;&gt;"",INDEX(IHZ_HAZ_FLASHPOINT,232,1)&lt;&gt;"",INDEX(IHZ_HAZ_MARPOLCODE,232,1)&lt;&gt;"",INDEX(IHZ_HAZ_PACTYPE,232,1)&lt;&gt;"",INDEX(IHZ_HAZ_TOTALPACKA,232,1)&lt;&gt;"",INDEX(IHZ_HAZ_ADDITIONAL,232,1)&lt;&gt;"",INDEX(IHZ_HAZ_EMS,232,1)&lt;&gt;"",INDEX(IHZ_HAZ_SUBSIDIARY,232,1)&lt;&gt;"",INDEX(IHZ_HAZ_UNITTYPE,232,1)&lt;&gt;"",INDEX(IHZ_HAZ_TEUID,232,1)&lt;&gt;"",INDEX(IHZ_HAZ_LOCATION,232,1)&lt;&gt;"",INDEX(IHZ_HAZ_PACKAGES,232,1)&lt;&gt;"",INDEX(IHZ_HAZ_AMOUNT,232,1)&lt;&gt;"",),IF(OR(INDEX(IHZ_HAZ_DGCLASSIFI,232,1)="",INDEX(IHZ_HAZ_TEXTUALREF,232,1)="",INDEX(IHZ_HAZ_TOTAMOUNT,232,1)="",INDEX(IHZ_HAZ_DPGREF,232,1)="",INDEX(IHZ_HAZ_CONSIGNMENT,232,1)="",),FALSE,TRUE),TRUE)</f>
        <v>1</v>
      </c>
      <c r="H239" s="237" t="str">
        <f t="shared" si="7"/>
        <v>Row 232 - All mandatory fields must be given</v>
      </c>
      <c r="J239" s="52" t="b">
        <f>IF(OR(INDEX(OHZ_HAZ_CONSIGNMENT,232,1)&lt;&gt;"",INDEX(OHZ_HAZ_TRANSDOCID,232,1)&lt;&gt;"",INDEX(OHZ_HAZ_PORTOFLOADING,232,1)&lt;&gt;"",INDEX(OHZ_HAZ_PORTOFDISCHARGE,232,1)&lt;&gt;"",INDEX(OHZ_HAZ_DPGREF,232,1)&lt;&gt;"",INDEX(OHZ_HAZ_DGCLASSIFI,232,1)&lt;&gt;"",INDEX(OHZ_HAZ_TEXTUALREF,232,1)&lt;&gt;"",INDEX(OHZ_HAZ_IMOHAZARDC,232,1)&lt;&gt;"",INDEX(OHZ_HAZ_UNNUMBER,232,1)&lt;&gt;"",INDEX(OHZ_HAZ_TOTAMOUNT,232,1)&lt;&gt;"",INDEX(OHZ_HAZ_PACKINGGRO,232,1)&lt;&gt;"",INDEX(OHZ_HAZ_FLASHPOINT,232,1)&lt;&gt;"",INDEX(OHZ_HAZ_MARPOLCODE,232,1)&lt;&gt;"",INDEX(OHZ_HAZ_PACTYPE,232,1)&lt;&gt;"",INDEX(OHZ_HAZ_TOTALPACKA,232,1)&lt;&gt;"",INDEX(OHZ_HAZ_ADDITIONAL,232,1)&lt;&gt;"",INDEX(OHZ_HAZ_EMS,232,1)&lt;&gt;"",INDEX(OHZ_HAZ_SUBSIDIARY,232,1)&lt;&gt;"",INDEX(OHZ_HAZ_UNITTYPE,232,1)&lt;&gt;"",INDEX(OHZ_HAZ_TEUID,232,1)&lt;&gt;"",INDEX(OHZ_HAZ_LOCATION,232,1)&lt;&gt;"",INDEX(OHZ_HAZ_PACKAGES,232,1)&lt;&gt;"",INDEX(OHZ_HAZ_AMOUNT,232,1)&lt;&gt;"",),IF(OR(INDEX(OHZ_HAZ_DGCLASSIFI,232,1)="",INDEX(OHZ_HAZ_TEXTUALREF,232,1)="",INDEX(OHZ_HAZ_TOTAMOUNT,232,1)="",INDEX(OHZ_HAZ_DPGREF,232,1)="",INDEX(OHZ_HAZ_CONSIGNMENT,232,1)="",),FALSE,TRUE),TRUE)</f>
        <v>1</v>
      </c>
      <c r="K239" s="237" t="str">
        <f t="shared" si="8"/>
        <v>Row 232 - All mandatory fields must be given</v>
      </c>
      <c r="L239" s="236" t="s">
        <v>1853</v>
      </c>
      <c r="S239" s="52"/>
      <c r="T239" s="52" t="s">
        <v>2324</v>
      </c>
      <c r="V239" s="52"/>
    </row>
    <row r="240" spans="6:22">
      <c r="F240" s="236" t="s">
        <v>1853</v>
      </c>
      <c r="G240" s="250" t="b">
        <f>IF(OR(INDEX(IHZ_HAZ_CONSIGNMENT,233,1)&lt;&gt;"",INDEX(IHZ_HAZ_TRANSDOCID,233,1)&lt;&gt;"",INDEX(IHZ_HAZ_PORTOFLOADING,233,1)&lt;&gt;"",INDEX(IHZ_HAZ_PORTOFDISCHARGE,233,1)&lt;&gt;"",INDEX(IHZ_HAZ_DPGREF,233,1)&lt;&gt;"",INDEX(IHZ_HAZ_DGCLASSIFI,233,1)&lt;&gt;"",INDEX(IHZ_HAZ_TEXTUALREF,233,1)&lt;&gt;"",INDEX(IHZ_HAZ_IMOHAZARDC,233,1)&lt;&gt;"",INDEX(IHZ_HAZ_UNNUMBER,233,1)&lt;&gt;"",INDEX(IHZ_HAZ_TOTAMOUNT,233,1)&lt;&gt;"",INDEX(IHZ_HAZ_PACKINGGRO,233,1)&lt;&gt;"",INDEX(IHZ_HAZ_FLASHPOINT,233,1)&lt;&gt;"",INDEX(IHZ_HAZ_MARPOLCODE,233,1)&lt;&gt;"",INDEX(IHZ_HAZ_PACTYPE,233,1)&lt;&gt;"",INDEX(IHZ_HAZ_TOTALPACKA,233,1)&lt;&gt;"",INDEX(IHZ_HAZ_ADDITIONAL,233,1)&lt;&gt;"",INDEX(IHZ_HAZ_EMS,233,1)&lt;&gt;"",INDEX(IHZ_HAZ_SUBSIDIARY,233,1)&lt;&gt;"",INDEX(IHZ_HAZ_UNITTYPE,233,1)&lt;&gt;"",INDEX(IHZ_HAZ_TEUID,233,1)&lt;&gt;"",INDEX(IHZ_HAZ_LOCATION,233,1)&lt;&gt;"",INDEX(IHZ_HAZ_PACKAGES,233,1)&lt;&gt;"",INDEX(IHZ_HAZ_AMOUNT,233,1)&lt;&gt;"",),IF(OR(INDEX(IHZ_HAZ_DGCLASSIFI,233,1)="",INDEX(IHZ_HAZ_TEXTUALREF,233,1)="",INDEX(IHZ_HAZ_TOTAMOUNT,233,1)="",INDEX(IHZ_HAZ_DPGREF,233,1)="",INDEX(IHZ_HAZ_CONSIGNMENT,233,1)="",),FALSE,TRUE),TRUE)</f>
        <v>1</v>
      </c>
      <c r="H240" s="237" t="str">
        <f t="shared" si="7"/>
        <v>Row 233 - All mandatory fields must be given</v>
      </c>
      <c r="J240" s="52" t="b">
        <f>IF(OR(INDEX(OHZ_HAZ_CONSIGNMENT,233,1)&lt;&gt;"",INDEX(OHZ_HAZ_TRANSDOCID,233,1)&lt;&gt;"",INDEX(OHZ_HAZ_PORTOFLOADING,233,1)&lt;&gt;"",INDEX(OHZ_HAZ_PORTOFDISCHARGE,233,1)&lt;&gt;"",INDEX(OHZ_HAZ_DPGREF,233,1)&lt;&gt;"",INDEX(OHZ_HAZ_DGCLASSIFI,233,1)&lt;&gt;"",INDEX(OHZ_HAZ_TEXTUALREF,233,1)&lt;&gt;"",INDEX(OHZ_HAZ_IMOHAZARDC,233,1)&lt;&gt;"",INDEX(OHZ_HAZ_UNNUMBER,233,1)&lt;&gt;"",INDEX(OHZ_HAZ_TOTAMOUNT,233,1)&lt;&gt;"",INDEX(OHZ_HAZ_PACKINGGRO,233,1)&lt;&gt;"",INDEX(OHZ_HAZ_FLASHPOINT,233,1)&lt;&gt;"",INDEX(OHZ_HAZ_MARPOLCODE,233,1)&lt;&gt;"",INDEX(OHZ_HAZ_PACTYPE,233,1)&lt;&gt;"",INDEX(OHZ_HAZ_TOTALPACKA,233,1)&lt;&gt;"",INDEX(OHZ_HAZ_ADDITIONAL,233,1)&lt;&gt;"",INDEX(OHZ_HAZ_EMS,233,1)&lt;&gt;"",INDEX(OHZ_HAZ_SUBSIDIARY,233,1)&lt;&gt;"",INDEX(OHZ_HAZ_UNITTYPE,233,1)&lt;&gt;"",INDEX(OHZ_HAZ_TEUID,233,1)&lt;&gt;"",INDEX(OHZ_HAZ_LOCATION,233,1)&lt;&gt;"",INDEX(OHZ_HAZ_PACKAGES,233,1)&lt;&gt;"",INDEX(OHZ_HAZ_AMOUNT,233,1)&lt;&gt;"",),IF(OR(INDEX(OHZ_HAZ_DGCLASSIFI,233,1)="",INDEX(OHZ_HAZ_TEXTUALREF,233,1)="",INDEX(OHZ_HAZ_TOTAMOUNT,233,1)="",INDEX(OHZ_HAZ_DPGREF,233,1)="",INDEX(OHZ_HAZ_CONSIGNMENT,233,1)="",),FALSE,TRUE),TRUE)</f>
        <v>1</v>
      </c>
      <c r="K240" s="237" t="str">
        <f t="shared" si="8"/>
        <v>Row 233 - All mandatory fields must be given</v>
      </c>
      <c r="L240" s="236" t="s">
        <v>1853</v>
      </c>
      <c r="S240" s="52"/>
      <c r="T240" s="52" t="s">
        <v>2325</v>
      </c>
      <c r="V240" s="52"/>
    </row>
    <row r="241" spans="6:22">
      <c r="F241" s="236" t="s">
        <v>1853</v>
      </c>
      <c r="G241" s="250" t="b">
        <f>IF(OR(INDEX(IHZ_HAZ_CONSIGNMENT,234,1)&lt;&gt;"",INDEX(IHZ_HAZ_TRANSDOCID,234,1)&lt;&gt;"",INDEX(IHZ_HAZ_PORTOFLOADING,234,1)&lt;&gt;"",INDEX(IHZ_HAZ_PORTOFDISCHARGE,234,1)&lt;&gt;"",INDEX(IHZ_HAZ_DPGREF,234,1)&lt;&gt;"",INDEX(IHZ_HAZ_DGCLASSIFI,234,1)&lt;&gt;"",INDEX(IHZ_HAZ_TEXTUALREF,234,1)&lt;&gt;"",INDEX(IHZ_HAZ_IMOHAZARDC,234,1)&lt;&gt;"",INDEX(IHZ_HAZ_UNNUMBER,234,1)&lt;&gt;"",INDEX(IHZ_HAZ_TOTAMOUNT,234,1)&lt;&gt;"",INDEX(IHZ_HAZ_PACKINGGRO,234,1)&lt;&gt;"",INDEX(IHZ_HAZ_FLASHPOINT,234,1)&lt;&gt;"",INDEX(IHZ_HAZ_MARPOLCODE,234,1)&lt;&gt;"",INDEX(IHZ_HAZ_PACTYPE,234,1)&lt;&gt;"",INDEX(IHZ_HAZ_TOTALPACKA,234,1)&lt;&gt;"",INDEX(IHZ_HAZ_ADDITIONAL,234,1)&lt;&gt;"",INDEX(IHZ_HAZ_EMS,234,1)&lt;&gt;"",INDEX(IHZ_HAZ_SUBSIDIARY,234,1)&lt;&gt;"",INDEX(IHZ_HAZ_UNITTYPE,234,1)&lt;&gt;"",INDEX(IHZ_HAZ_TEUID,234,1)&lt;&gt;"",INDEX(IHZ_HAZ_LOCATION,234,1)&lt;&gt;"",INDEX(IHZ_HAZ_PACKAGES,234,1)&lt;&gt;"",INDEX(IHZ_HAZ_AMOUNT,234,1)&lt;&gt;"",),IF(OR(INDEX(IHZ_HAZ_DGCLASSIFI,234,1)="",INDEX(IHZ_HAZ_TEXTUALREF,234,1)="",INDEX(IHZ_HAZ_TOTAMOUNT,234,1)="",INDEX(IHZ_HAZ_DPGREF,234,1)="",INDEX(IHZ_HAZ_CONSIGNMENT,234,1)="",),FALSE,TRUE),TRUE)</f>
        <v>1</v>
      </c>
      <c r="H241" s="237" t="str">
        <f t="shared" si="7"/>
        <v>Row 234 - All mandatory fields must be given</v>
      </c>
      <c r="J241" s="52" t="b">
        <f>IF(OR(INDEX(OHZ_HAZ_CONSIGNMENT,234,1)&lt;&gt;"",INDEX(OHZ_HAZ_TRANSDOCID,234,1)&lt;&gt;"",INDEX(OHZ_HAZ_PORTOFLOADING,234,1)&lt;&gt;"",INDEX(OHZ_HAZ_PORTOFDISCHARGE,234,1)&lt;&gt;"",INDEX(OHZ_HAZ_DPGREF,234,1)&lt;&gt;"",INDEX(OHZ_HAZ_DGCLASSIFI,234,1)&lt;&gt;"",INDEX(OHZ_HAZ_TEXTUALREF,234,1)&lt;&gt;"",INDEX(OHZ_HAZ_IMOHAZARDC,234,1)&lt;&gt;"",INDEX(OHZ_HAZ_UNNUMBER,234,1)&lt;&gt;"",INDEX(OHZ_HAZ_TOTAMOUNT,234,1)&lt;&gt;"",INDEX(OHZ_HAZ_PACKINGGRO,234,1)&lt;&gt;"",INDEX(OHZ_HAZ_FLASHPOINT,234,1)&lt;&gt;"",INDEX(OHZ_HAZ_MARPOLCODE,234,1)&lt;&gt;"",INDEX(OHZ_HAZ_PACTYPE,234,1)&lt;&gt;"",INDEX(OHZ_HAZ_TOTALPACKA,234,1)&lt;&gt;"",INDEX(OHZ_HAZ_ADDITIONAL,234,1)&lt;&gt;"",INDEX(OHZ_HAZ_EMS,234,1)&lt;&gt;"",INDEX(OHZ_HAZ_SUBSIDIARY,234,1)&lt;&gt;"",INDEX(OHZ_HAZ_UNITTYPE,234,1)&lt;&gt;"",INDEX(OHZ_HAZ_TEUID,234,1)&lt;&gt;"",INDEX(OHZ_HAZ_LOCATION,234,1)&lt;&gt;"",INDEX(OHZ_HAZ_PACKAGES,234,1)&lt;&gt;"",INDEX(OHZ_HAZ_AMOUNT,234,1)&lt;&gt;"",),IF(OR(INDEX(OHZ_HAZ_DGCLASSIFI,234,1)="",INDEX(OHZ_HAZ_TEXTUALREF,234,1)="",INDEX(OHZ_HAZ_TOTAMOUNT,234,1)="",INDEX(OHZ_HAZ_DPGREF,234,1)="",INDEX(OHZ_HAZ_CONSIGNMENT,234,1)="",),FALSE,TRUE),TRUE)</f>
        <v>1</v>
      </c>
      <c r="K241" s="237" t="str">
        <f t="shared" si="8"/>
        <v>Row 234 - All mandatory fields must be given</v>
      </c>
      <c r="L241" s="236" t="s">
        <v>1853</v>
      </c>
      <c r="S241" s="52"/>
      <c r="T241" s="52" t="s">
        <v>2326</v>
      </c>
      <c r="V241" s="52"/>
    </row>
    <row r="242" spans="6:22">
      <c r="F242" s="236" t="s">
        <v>1853</v>
      </c>
      <c r="G242" s="250" t="b">
        <f>IF(OR(INDEX(IHZ_HAZ_CONSIGNMENT,235,1)&lt;&gt;"",INDEX(IHZ_HAZ_TRANSDOCID,235,1)&lt;&gt;"",INDEX(IHZ_HAZ_PORTOFLOADING,235,1)&lt;&gt;"",INDEX(IHZ_HAZ_PORTOFDISCHARGE,235,1)&lt;&gt;"",INDEX(IHZ_HAZ_DPGREF,235,1)&lt;&gt;"",INDEX(IHZ_HAZ_DGCLASSIFI,235,1)&lt;&gt;"",INDEX(IHZ_HAZ_TEXTUALREF,235,1)&lt;&gt;"",INDEX(IHZ_HAZ_IMOHAZARDC,235,1)&lt;&gt;"",INDEX(IHZ_HAZ_UNNUMBER,235,1)&lt;&gt;"",INDEX(IHZ_HAZ_TOTAMOUNT,235,1)&lt;&gt;"",INDEX(IHZ_HAZ_PACKINGGRO,235,1)&lt;&gt;"",INDEX(IHZ_HAZ_FLASHPOINT,235,1)&lt;&gt;"",INDEX(IHZ_HAZ_MARPOLCODE,235,1)&lt;&gt;"",INDEX(IHZ_HAZ_PACTYPE,235,1)&lt;&gt;"",INDEX(IHZ_HAZ_TOTALPACKA,235,1)&lt;&gt;"",INDEX(IHZ_HAZ_ADDITIONAL,235,1)&lt;&gt;"",INDEX(IHZ_HAZ_EMS,235,1)&lt;&gt;"",INDEX(IHZ_HAZ_SUBSIDIARY,235,1)&lt;&gt;"",INDEX(IHZ_HAZ_UNITTYPE,235,1)&lt;&gt;"",INDEX(IHZ_HAZ_TEUID,235,1)&lt;&gt;"",INDEX(IHZ_HAZ_LOCATION,235,1)&lt;&gt;"",INDEX(IHZ_HAZ_PACKAGES,235,1)&lt;&gt;"",INDEX(IHZ_HAZ_AMOUNT,235,1)&lt;&gt;"",),IF(OR(INDEX(IHZ_HAZ_DGCLASSIFI,235,1)="",INDEX(IHZ_HAZ_TEXTUALREF,235,1)="",INDEX(IHZ_HAZ_TOTAMOUNT,235,1)="",INDEX(IHZ_HAZ_DPGREF,235,1)="",INDEX(IHZ_HAZ_CONSIGNMENT,235,1)="",),FALSE,TRUE),TRUE)</f>
        <v>1</v>
      </c>
      <c r="H242" s="237" t="str">
        <f t="shared" si="7"/>
        <v>Row 235 - All mandatory fields must be given</v>
      </c>
      <c r="J242" s="52" t="b">
        <f>IF(OR(INDEX(OHZ_HAZ_CONSIGNMENT,235,1)&lt;&gt;"",INDEX(OHZ_HAZ_TRANSDOCID,235,1)&lt;&gt;"",INDEX(OHZ_HAZ_PORTOFLOADING,235,1)&lt;&gt;"",INDEX(OHZ_HAZ_PORTOFDISCHARGE,235,1)&lt;&gt;"",INDEX(OHZ_HAZ_DPGREF,235,1)&lt;&gt;"",INDEX(OHZ_HAZ_DGCLASSIFI,235,1)&lt;&gt;"",INDEX(OHZ_HAZ_TEXTUALREF,235,1)&lt;&gt;"",INDEX(OHZ_HAZ_IMOHAZARDC,235,1)&lt;&gt;"",INDEX(OHZ_HAZ_UNNUMBER,235,1)&lt;&gt;"",INDEX(OHZ_HAZ_TOTAMOUNT,235,1)&lt;&gt;"",INDEX(OHZ_HAZ_PACKINGGRO,235,1)&lt;&gt;"",INDEX(OHZ_HAZ_FLASHPOINT,235,1)&lt;&gt;"",INDEX(OHZ_HAZ_MARPOLCODE,235,1)&lt;&gt;"",INDEX(OHZ_HAZ_PACTYPE,235,1)&lt;&gt;"",INDEX(OHZ_HAZ_TOTALPACKA,235,1)&lt;&gt;"",INDEX(OHZ_HAZ_ADDITIONAL,235,1)&lt;&gt;"",INDEX(OHZ_HAZ_EMS,235,1)&lt;&gt;"",INDEX(OHZ_HAZ_SUBSIDIARY,235,1)&lt;&gt;"",INDEX(OHZ_HAZ_UNITTYPE,235,1)&lt;&gt;"",INDEX(OHZ_HAZ_TEUID,235,1)&lt;&gt;"",INDEX(OHZ_HAZ_LOCATION,235,1)&lt;&gt;"",INDEX(OHZ_HAZ_PACKAGES,235,1)&lt;&gt;"",INDEX(OHZ_HAZ_AMOUNT,235,1)&lt;&gt;"",),IF(OR(INDEX(OHZ_HAZ_DGCLASSIFI,235,1)="",INDEX(OHZ_HAZ_TEXTUALREF,235,1)="",INDEX(OHZ_HAZ_TOTAMOUNT,235,1)="",INDEX(OHZ_HAZ_DPGREF,235,1)="",INDEX(OHZ_HAZ_CONSIGNMENT,235,1)="",),FALSE,TRUE),TRUE)</f>
        <v>1</v>
      </c>
      <c r="K242" s="237" t="str">
        <f t="shared" si="8"/>
        <v>Row 235 - All mandatory fields must be given</v>
      </c>
      <c r="L242" s="236" t="s">
        <v>1853</v>
      </c>
      <c r="S242" s="52"/>
      <c r="T242" s="52" t="s">
        <v>2327</v>
      </c>
      <c r="V242" s="52"/>
    </row>
    <row r="243" spans="6:22">
      <c r="F243" s="236" t="s">
        <v>1853</v>
      </c>
      <c r="G243" s="250" t="b">
        <f>IF(OR(INDEX(IHZ_HAZ_CONSIGNMENT,236,1)&lt;&gt;"",INDEX(IHZ_HAZ_TRANSDOCID,236,1)&lt;&gt;"",INDEX(IHZ_HAZ_PORTOFLOADING,236,1)&lt;&gt;"",INDEX(IHZ_HAZ_PORTOFDISCHARGE,236,1)&lt;&gt;"",INDEX(IHZ_HAZ_DPGREF,236,1)&lt;&gt;"",INDEX(IHZ_HAZ_DGCLASSIFI,236,1)&lt;&gt;"",INDEX(IHZ_HAZ_TEXTUALREF,236,1)&lt;&gt;"",INDEX(IHZ_HAZ_IMOHAZARDC,236,1)&lt;&gt;"",INDEX(IHZ_HAZ_UNNUMBER,236,1)&lt;&gt;"",INDEX(IHZ_HAZ_TOTAMOUNT,236,1)&lt;&gt;"",INDEX(IHZ_HAZ_PACKINGGRO,236,1)&lt;&gt;"",INDEX(IHZ_HAZ_FLASHPOINT,236,1)&lt;&gt;"",INDEX(IHZ_HAZ_MARPOLCODE,236,1)&lt;&gt;"",INDEX(IHZ_HAZ_PACTYPE,236,1)&lt;&gt;"",INDEX(IHZ_HAZ_TOTALPACKA,236,1)&lt;&gt;"",INDEX(IHZ_HAZ_ADDITIONAL,236,1)&lt;&gt;"",INDEX(IHZ_HAZ_EMS,236,1)&lt;&gt;"",INDEX(IHZ_HAZ_SUBSIDIARY,236,1)&lt;&gt;"",INDEX(IHZ_HAZ_UNITTYPE,236,1)&lt;&gt;"",INDEX(IHZ_HAZ_TEUID,236,1)&lt;&gt;"",INDEX(IHZ_HAZ_LOCATION,236,1)&lt;&gt;"",INDEX(IHZ_HAZ_PACKAGES,236,1)&lt;&gt;"",INDEX(IHZ_HAZ_AMOUNT,236,1)&lt;&gt;"",),IF(OR(INDEX(IHZ_HAZ_DGCLASSIFI,236,1)="",INDEX(IHZ_HAZ_TEXTUALREF,236,1)="",INDEX(IHZ_HAZ_TOTAMOUNT,236,1)="",INDEX(IHZ_HAZ_DPGREF,236,1)="",INDEX(IHZ_HAZ_CONSIGNMENT,236,1)="",),FALSE,TRUE),TRUE)</f>
        <v>1</v>
      </c>
      <c r="H243" s="237" t="str">
        <f t="shared" si="7"/>
        <v>Row 236 - All mandatory fields must be given</v>
      </c>
      <c r="J243" s="52" t="b">
        <f>IF(OR(INDEX(OHZ_HAZ_CONSIGNMENT,236,1)&lt;&gt;"",INDEX(OHZ_HAZ_TRANSDOCID,236,1)&lt;&gt;"",INDEX(OHZ_HAZ_PORTOFLOADING,236,1)&lt;&gt;"",INDEX(OHZ_HAZ_PORTOFDISCHARGE,236,1)&lt;&gt;"",INDEX(OHZ_HAZ_DPGREF,236,1)&lt;&gt;"",INDEX(OHZ_HAZ_DGCLASSIFI,236,1)&lt;&gt;"",INDEX(OHZ_HAZ_TEXTUALREF,236,1)&lt;&gt;"",INDEX(OHZ_HAZ_IMOHAZARDC,236,1)&lt;&gt;"",INDEX(OHZ_HAZ_UNNUMBER,236,1)&lt;&gt;"",INDEX(OHZ_HAZ_TOTAMOUNT,236,1)&lt;&gt;"",INDEX(OHZ_HAZ_PACKINGGRO,236,1)&lt;&gt;"",INDEX(OHZ_HAZ_FLASHPOINT,236,1)&lt;&gt;"",INDEX(OHZ_HAZ_MARPOLCODE,236,1)&lt;&gt;"",INDEX(OHZ_HAZ_PACTYPE,236,1)&lt;&gt;"",INDEX(OHZ_HAZ_TOTALPACKA,236,1)&lt;&gt;"",INDEX(OHZ_HAZ_ADDITIONAL,236,1)&lt;&gt;"",INDEX(OHZ_HAZ_EMS,236,1)&lt;&gt;"",INDEX(OHZ_HAZ_SUBSIDIARY,236,1)&lt;&gt;"",INDEX(OHZ_HAZ_UNITTYPE,236,1)&lt;&gt;"",INDEX(OHZ_HAZ_TEUID,236,1)&lt;&gt;"",INDEX(OHZ_HAZ_LOCATION,236,1)&lt;&gt;"",INDEX(OHZ_HAZ_PACKAGES,236,1)&lt;&gt;"",INDEX(OHZ_HAZ_AMOUNT,236,1)&lt;&gt;"",),IF(OR(INDEX(OHZ_HAZ_DGCLASSIFI,236,1)="",INDEX(OHZ_HAZ_TEXTUALREF,236,1)="",INDEX(OHZ_HAZ_TOTAMOUNT,236,1)="",INDEX(OHZ_HAZ_DPGREF,236,1)="",INDEX(OHZ_HAZ_CONSIGNMENT,236,1)="",),FALSE,TRUE),TRUE)</f>
        <v>1</v>
      </c>
      <c r="K243" s="237" t="str">
        <f t="shared" si="8"/>
        <v>Row 236 - All mandatory fields must be given</v>
      </c>
      <c r="L243" s="236" t="s">
        <v>1853</v>
      </c>
      <c r="S243" s="52"/>
      <c r="T243" s="52" t="s">
        <v>2328</v>
      </c>
      <c r="V243" s="52"/>
    </row>
    <row r="244" spans="6:22">
      <c r="F244" s="236" t="s">
        <v>1853</v>
      </c>
      <c r="G244" s="250" t="b">
        <f>IF(OR(INDEX(IHZ_HAZ_CONSIGNMENT,237,1)&lt;&gt;"",INDEX(IHZ_HAZ_TRANSDOCID,237,1)&lt;&gt;"",INDEX(IHZ_HAZ_PORTOFLOADING,237,1)&lt;&gt;"",INDEX(IHZ_HAZ_PORTOFDISCHARGE,237,1)&lt;&gt;"",INDEX(IHZ_HAZ_DPGREF,237,1)&lt;&gt;"",INDEX(IHZ_HAZ_DGCLASSIFI,237,1)&lt;&gt;"",INDEX(IHZ_HAZ_TEXTUALREF,237,1)&lt;&gt;"",INDEX(IHZ_HAZ_IMOHAZARDC,237,1)&lt;&gt;"",INDEX(IHZ_HAZ_UNNUMBER,237,1)&lt;&gt;"",INDEX(IHZ_HAZ_TOTAMOUNT,237,1)&lt;&gt;"",INDEX(IHZ_HAZ_PACKINGGRO,237,1)&lt;&gt;"",INDEX(IHZ_HAZ_FLASHPOINT,237,1)&lt;&gt;"",INDEX(IHZ_HAZ_MARPOLCODE,237,1)&lt;&gt;"",INDEX(IHZ_HAZ_PACTYPE,237,1)&lt;&gt;"",INDEX(IHZ_HAZ_TOTALPACKA,237,1)&lt;&gt;"",INDEX(IHZ_HAZ_ADDITIONAL,237,1)&lt;&gt;"",INDEX(IHZ_HAZ_EMS,237,1)&lt;&gt;"",INDEX(IHZ_HAZ_SUBSIDIARY,237,1)&lt;&gt;"",INDEX(IHZ_HAZ_UNITTYPE,237,1)&lt;&gt;"",INDEX(IHZ_HAZ_TEUID,237,1)&lt;&gt;"",INDEX(IHZ_HAZ_LOCATION,237,1)&lt;&gt;"",INDEX(IHZ_HAZ_PACKAGES,237,1)&lt;&gt;"",INDEX(IHZ_HAZ_AMOUNT,237,1)&lt;&gt;"",),IF(OR(INDEX(IHZ_HAZ_DGCLASSIFI,237,1)="",INDEX(IHZ_HAZ_TEXTUALREF,237,1)="",INDEX(IHZ_HAZ_TOTAMOUNT,237,1)="",INDEX(IHZ_HAZ_DPGREF,237,1)="",INDEX(IHZ_HAZ_CONSIGNMENT,237,1)="",),FALSE,TRUE),TRUE)</f>
        <v>1</v>
      </c>
      <c r="H244" s="237" t="str">
        <f t="shared" si="7"/>
        <v>Row 237 - All mandatory fields must be given</v>
      </c>
      <c r="J244" s="52" t="b">
        <f>IF(OR(INDEX(OHZ_HAZ_CONSIGNMENT,237,1)&lt;&gt;"",INDEX(OHZ_HAZ_TRANSDOCID,237,1)&lt;&gt;"",INDEX(OHZ_HAZ_PORTOFLOADING,237,1)&lt;&gt;"",INDEX(OHZ_HAZ_PORTOFDISCHARGE,237,1)&lt;&gt;"",INDEX(OHZ_HAZ_DPGREF,237,1)&lt;&gt;"",INDEX(OHZ_HAZ_DGCLASSIFI,237,1)&lt;&gt;"",INDEX(OHZ_HAZ_TEXTUALREF,237,1)&lt;&gt;"",INDEX(OHZ_HAZ_IMOHAZARDC,237,1)&lt;&gt;"",INDEX(OHZ_HAZ_UNNUMBER,237,1)&lt;&gt;"",INDEX(OHZ_HAZ_TOTAMOUNT,237,1)&lt;&gt;"",INDEX(OHZ_HAZ_PACKINGGRO,237,1)&lt;&gt;"",INDEX(OHZ_HAZ_FLASHPOINT,237,1)&lt;&gt;"",INDEX(OHZ_HAZ_MARPOLCODE,237,1)&lt;&gt;"",INDEX(OHZ_HAZ_PACTYPE,237,1)&lt;&gt;"",INDEX(OHZ_HAZ_TOTALPACKA,237,1)&lt;&gt;"",INDEX(OHZ_HAZ_ADDITIONAL,237,1)&lt;&gt;"",INDEX(OHZ_HAZ_EMS,237,1)&lt;&gt;"",INDEX(OHZ_HAZ_SUBSIDIARY,237,1)&lt;&gt;"",INDEX(OHZ_HAZ_UNITTYPE,237,1)&lt;&gt;"",INDEX(OHZ_HAZ_TEUID,237,1)&lt;&gt;"",INDEX(OHZ_HAZ_LOCATION,237,1)&lt;&gt;"",INDEX(OHZ_HAZ_PACKAGES,237,1)&lt;&gt;"",INDEX(OHZ_HAZ_AMOUNT,237,1)&lt;&gt;"",),IF(OR(INDEX(OHZ_HAZ_DGCLASSIFI,237,1)="",INDEX(OHZ_HAZ_TEXTUALREF,237,1)="",INDEX(OHZ_HAZ_TOTAMOUNT,237,1)="",INDEX(OHZ_HAZ_DPGREF,237,1)="",INDEX(OHZ_HAZ_CONSIGNMENT,237,1)="",),FALSE,TRUE),TRUE)</f>
        <v>1</v>
      </c>
      <c r="K244" s="237" t="str">
        <f t="shared" si="8"/>
        <v>Row 237 - All mandatory fields must be given</v>
      </c>
      <c r="L244" s="236" t="s">
        <v>1853</v>
      </c>
      <c r="S244" s="52"/>
      <c r="T244" s="52" t="s">
        <v>2329</v>
      </c>
      <c r="V244" s="52"/>
    </row>
    <row r="245" spans="6:22">
      <c r="F245" s="236" t="s">
        <v>1853</v>
      </c>
      <c r="G245" s="250" t="b">
        <f>IF(OR(INDEX(IHZ_HAZ_CONSIGNMENT,238,1)&lt;&gt;"",INDEX(IHZ_HAZ_TRANSDOCID,238,1)&lt;&gt;"",INDEX(IHZ_HAZ_PORTOFLOADING,238,1)&lt;&gt;"",INDEX(IHZ_HAZ_PORTOFDISCHARGE,238,1)&lt;&gt;"",INDEX(IHZ_HAZ_DPGREF,238,1)&lt;&gt;"",INDEX(IHZ_HAZ_DGCLASSIFI,238,1)&lt;&gt;"",INDEX(IHZ_HAZ_TEXTUALREF,238,1)&lt;&gt;"",INDEX(IHZ_HAZ_IMOHAZARDC,238,1)&lt;&gt;"",INDEX(IHZ_HAZ_UNNUMBER,238,1)&lt;&gt;"",INDEX(IHZ_HAZ_TOTAMOUNT,238,1)&lt;&gt;"",INDEX(IHZ_HAZ_PACKINGGRO,238,1)&lt;&gt;"",INDEX(IHZ_HAZ_FLASHPOINT,238,1)&lt;&gt;"",INDEX(IHZ_HAZ_MARPOLCODE,238,1)&lt;&gt;"",INDEX(IHZ_HAZ_PACTYPE,238,1)&lt;&gt;"",INDEX(IHZ_HAZ_TOTALPACKA,238,1)&lt;&gt;"",INDEX(IHZ_HAZ_ADDITIONAL,238,1)&lt;&gt;"",INDEX(IHZ_HAZ_EMS,238,1)&lt;&gt;"",INDEX(IHZ_HAZ_SUBSIDIARY,238,1)&lt;&gt;"",INDEX(IHZ_HAZ_UNITTYPE,238,1)&lt;&gt;"",INDEX(IHZ_HAZ_TEUID,238,1)&lt;&gt;"",INDEX(IHZ_HAZ_LOCATION,238,1)&lt;&gt;"",INDEX(IHZ_HAZ_PACKAGES,238,1)&lt;&gt;"",INDEX(IHZ_HAZ_AMOUNT,238,1)&lt;&gt;"",),IF(OR(INDEX(IHZ_HAZ_DGCLASSIFI,238,1)="",INDEX(IHZ_HAZ_TEXTUALREF,238,1)="",INDEX(IHZ_HAZ_TOTAMOUNT,238,1)="",INDEX(IHZ_HAZ_DPGREF,238,1)="",INDEX(IHZ_HAZ_CONSIGNMENT,238,1)="",),FALSE,TRUE),TRUE)</f>
        <v>1</v>
      </c>
      <c r="H245" s="237" t="str">
        <f t="shared" si="7"/>
        <v>Row 238 - All mandatory fields must be given</v>
      </c>
      <c r="J245" s="52" t="b">
        <f>IF(OR(INDEX(OHZ_HAZ_CONSIGNMENT,238,1)&lt;&gt;"",INDEX(OHZ_HAZ_TRANSDOCID,238,1)&lt;&gt;"",INDEX(OHZ_HAZ_PORTOFLOADING,238,1)&lt;&gt;"",INDEX(OHZ_HAZ_PORTOFDISCHARGE,238,1)&lt;&gt;"",INDEX(OHZ_HAZ_DPGREF,238,1)&lt;&gt;"",INDEX(OHZ_HAZ_DGCLASSIFI,238,1)&lt;&gt;"",INDEX(OHZ_HAZ_TEXTUALREF,238,1)&lt;&gt;"",INDEX(OHZ_HAZ_IMOHAZARDC,238,1)&lt;&gt;"",INDEX(OHZ_HAZ_UNNUMBER,238,1)&lt;&gt;"",INDEX(OHZ_HAZ_TOTAMOUNT,238,1)&lt;&gt;"",INDEX(OHZ_HAZ_PACKINGGRO,238,1)&lt;&gt;"",INDEX(OHZ_HAZ_FLASHPOINT,238,1)&lt;&gt;"",INDEX(OHZ_HAZ_MARPOLCODE,238,1)&lt;&gt;"",INDEX(OHZ_HAZ_PACTYPE,238,1)&lt;&gt;"",INDEX(OHZ_HAZ_TOTALPACKA,238,1)&lt;&gt;"",INDEX(OHZ_HAZ_ADDITIONAL,238,1)&lt;&gt;"",INDEX(OHZ_HAZ_EMS,238,1)&lt;&gt;"",INDEX(OHZ_HAZ_SUBSIDIARY,238,1)&lt;&gt;"",INDEX(OHZ_HAZ_UNITTYPE,238,1)&lt;&gt;"",INDEX(OHZ_HAZ_TEUID,238,1)&lt;&gt;"",INDEX(OHZ_HAZ_LOCATION,238,1)&lt;&gt;"",INDEX(OHZ_HAZ_PACKAGES,238,1)&lt;&gt;"",INDEX(OHZ_HAZ_AMOUNT,238,1)&lt;&gt;"",),IF(OR(INDEX(OHZ_HAZ_DGCLASSIFI,238,1)="",INDEX(OHZ_HAZ_TEXTUALREF,238,1)="",INDEX(OHZ_HAZ_TOTAMOUNT,238,1)="",INDEX(OHZ_HAZ_DPGREF,238,1)="",INDEX(OHZ_HAZ_CONSIGNMENT,238,1)="",),FALSE,TRUE),TRUE)</f>
        <v>1</v>
      </c>
      <c r="K245" s="237" t="str">
        <f t="shared" si="8"/>
        <v>Row 238 - All mandatory fields must be given</v>
      </c>
      <c r="L245" s="236" t="s">
        <v>1853</v>
      </c>
      <c r="S245" s="52"/>
      <c r="T245" s="52" t="s">
        <v>2330</v>
      </c>
      <c r="V245" s="52"/>
    </row>
    <row r="246" spans="6:22">
      <c r="F246" s="236" t="s">
        <v>1853</v>
      </c>
      <c r="G246" s="250" t="b">
        <f>IF(OR(INDEX(IHZ_HAZ_CONSIGNMENT,239,1)&lt;&gt;"",INDEX(IHZ_HAZ_TRANSDOCID,239,1)&lt;&gt;"",INDEX(IHZ_HAZ_PORTOFLOADING,239,1)&lt;&gt;"",INDEX(IHZ_HAZ_PORTOFDISCHARGE,239,1)&lt;&gt;"",INDEX(IHZ_HAZ_DPGREF,239,1)&lt;&gt;"",INDEX(IHZ_HAZ_DGCLASSIFI,239,1)&lt;&gt;"",INDEX(IHZ_HAZ_TEXTUALREF,239,1)&lt;&gt;"",INDEX(IHZ_HAZ_IMOHAZARDC,239,1)&lt;&gt;"",INDEX(IHZ_HAZ_UNNUMBER,239,1)&lt;&gt;"",INDEX(IHZ_HAZ_TOTAMOUNT,239,1)&lt;&gt;"",INDEX(IHZ_HAZ_PACKINGGRO,239,1)&lt;&gt;"",INDEX(IHZ_HAZ_FLASHPOINT,239,1)&lt;&gt;"",INDEX(IHZ_HAZ_MARPOLCODE,239,1)&lt;&gt;"",INDEX(IHZ_HAZ_PACTYPE,239,1)&lt;&gt;"",INDEX(IHZ_HAZ_TOTALPACKA,239,1)&lt;&gt;"",INDEX(IHZ_HAZ_ADDITIONAL,239,1)&lt;&gt;"",INDEX(IHZ_HAZ_EMS,239,1)&lt;&gt;"",INDEX(IHZ_HAZ_SUBSIDIARY,239,1)&lt;&gt;"",INDEX(IHZ_HAZ_UNITTYPE,239,1)&lt;&gt;"",INDEX(IHZ_HAZ_TEUID,239,1)&lt;&gt;"",INDEX(IHZ_HAZ_LOCATION,239,1)&lt;&gt;"",INDEX(IHZ_HAZ_PACKAGES,239,1)&lt;&gt;"",INDEX(IHZ_HAZ_AMOUNT,239,1)&lt;&gt;"",),IF(OR(INDEX(IHZ_HAZ_DGCLASSIFI,239,1)="",INDEX(IHZ_HAZ_TEXTUALREF,239,1)="",INDEX(IHZ_HAZ_TOTAMOUNT,239,1)="",INDEX(IHZ_HAZ_DPGREF,239,1)="",INDEX(IHZ_HAZ_CONSIGNMENT,239,1)="",),FALSE,TRUE),TRUE)</f>
        <v>1</v>
      </c>
      <c r="H246" s="237" t="str">
        <f t="shared" si="7"/>
        <v>Row 239 - All mandatory fields must be given</v>
      </c>
      <c r="J246" s="52" t="b">
        <f>IF(OR(INDEX(OHZ_HAZ_CONSIGNMENT,239,1)&lt;&gt;"",INDEX(OHZ_HAZ_TRANSDOCID,239,1)&lt;&gt;"",INDEX(OHZ_HAZ_PORTOFLOADING,239,1)&lt;&gt;"",INDEX(OHZ_HAZ_PORTOFDISCHARGE,239,1)&lt;&gt;"",INDEX(OHZ_HAZ_DPGREF,239,1)&lt;&gt;"",INDEX(OHZ_HAZ_DGCLASSIFI,239,1)&lt;&gt;"",INDEX(OHZ_HAZ_TEXTUALREF,239,1)&lt;&gt;"",INDEX(OHZ_HAZ_IMOHAZARDC,239,1)&lt;&gt;"",INDEX(OHZ_HAZ_UNNUMBER,239,1)&lt;&gt;"",INDEX(OHZ_HAZ_TOTAMOUNT,239,1)&lt;&gt;"",INDEX(OHZ_HAZ_PACKINGGRO,239,1)&lt;&gt;"",INDEX(OHZ_HAZ_FLASHPOINT,239,1)&lt;&gt;"",INDEX(OHZ_HAZ_MARPOLCODE,239,1)&lt;&gt;"",INDEX(OHZ_HAZ_PACTYPE,239,1)&lt;&gt;"",INDEX(OHZ_HAZ_TOTALPACKA,239,1)&lt;&gt;"",INDEX(OHZ_HAZ_ADDITIONAL,239,1)&lt;&gt;"",INDEX(OHZ_HAZ_EMS,239,1)&lt;&gt;"",INDEX(OHZ_HAZ_SUBSIDIARY,239,1)&lt;&gt;"",INDEX(OHZ_HAZ_UNITTYPE,239,1)&lt;&gt;"",INDEX(OHZ_HAZ_TEUID,239,1)&lt;&gt;"",INDEX(OHZ_HAZ_LOCATION,239,1)&lt;&gt;"",INDEX(OHZ_HAZ_PACKAGES,239,1)&lt;&gt;"",INDEX(OHZ_HAZ_AMOUNT,239,1)&lt;&gt;"",),IF(OR(INDEX(OHZ_HAZ_DGCLASSIFI,239,1)="",INDEX(OHZ_HAZ_TEXTUALREF,239,1)="",INDEX(OHZ_HAZ_TOTAMOUNT,239,1)="",INDEX(OHZ_HAZ_DPGREF,239,1)="",INDEX(OHZ_HAZ_CONSIGNMENT,239,1)="",),FALSE,TRUE),TRUE)</f>
        <v>1</v>
      </c>
      <c r="K246" s="237" t="str">
        <f t="shared" si="8"/>
        <v>Row 239 - All mandatory fields must be given</v>
      </c>
      <c r="L246" s="236" t="s">
        <v>1853</v>
      </c>
      <c r="S246" s="52"/>
      <c r="T246" s="52" t="s">
        <v>2331</v>
      </c>
      <c r="V246" s="52"/>
    </row>
    <row r="247" spans="6:22">
      <c r="F247" s="236" t="s">
        <v>1853</v>
      </c>
      <c r="G247" s="250" t="b">
        <f>IF(OR(INDEX(IHZ_HAZ_CONSIGNMENT,240,1)&lt;&gt;"",INDEX(IHZ_HAZ_TRANSDOCID,240,1)&lt;&gt;"",INDEX(IHZ_HAZ_PORTOFLOADING,240,1)&lt;&gt;"",INDEX(IHZ_HAZ_PORTOFDISCHARGE,240,1)&lt;&gt;"",INDEX(IHZ_HAZ_DPGREF,240,1)&lt;&gt;"",INDEX(IHZ_HAZ_DGCLASSIFI,240,1)&lt;&gt;"",INDEX(IHZ_HAZ_TEXTUALREF,240,1)&lt;&gt;"",INDEX(IHZ_HAZ_IMOHAZARDC,240,1)&lt;&gt;"",INDEX(IHZ_HAZ_UNNUMBER,240,1)&lt;&gt;"",INDEX(IHZ_HAZ_TOTAMOUNT,240,1)&lt;&gt;"",INDEX(IHZ_HAZ_PACKINGGRO,240,1)&lt;&gt;"",INDEX(IHZ_HAZ_FLASHPOINT,240,1)&lt;&gt;"",INDEX(IHZ_HAZ_MARPOLCODE,240,1)&lt;&gt;"",INDEX(IHZ_HAZ_PACTYPE,240,1)&lt;&gt;"",INDEX(IHZ_HAZ_TOTALPACKA,240,1)&lt;&gt;"",INDEX(IHZ_HAZ_ADDITIONAL,240,1)&lt;&gt;"",INDEX(IHZ_HAZ_EMS,240,1)&lt;&gt;"",INDEX(IHZ_HAZ_SUBSIDIARY,240,1)&lt;&gt;"",INDEX(IHZ_HAZ_UNITTYPE,240,1)&lt;&gt;"",INDEX(IHZ_HAZ_TEUID,240,1)&lt;&gt;"",INDEX(IHZ_HAZ_LOCATION,240,1)&lt;&gt;"",INDEX(IHZ_HAZ_PACKAGES,240,1)&lt;&gt;"",INDEX(IHZ_HAZ_AMOUNT,240,1)&lt;&gt;"",),IF(OR(INDEX(IHZ_HAZ_DGCLASSIFI,240,1)="",INDEX(IHZ_HAZ_TEXTUALREF,240,1)="",INDEX(IHZ_HAZ_TOTAMOUNT,240,1)="",INDEX(IHZ_HAZ_DPGREF,240,1)="",INDEX(IHZ_HAZ_CONSIGNMENT,240,1)="",),FALSE,TRUE),TRUE)</f>
        <v>1</v>
      </c>
      <c r="H247" s="237" t="str">
        <f t="shared" si="7"/>
        <v>Row 240 - All mandatory fields must be given</v>
      </c>
      <c r="J247" s="52" t="b">
        <f>IF(OR(INDEX(OHZ_HAZ_CONSIGNMENT,240,1)&lt;&gt;"",INDEX(OHZ_HAZ_TRANSDOCID,240,1)&lt;&gt;"",INDEX(OHZ_HAZ_PORTOFLOADING,240,1)&lt;&gt;"",INDEX(OHZ_HAZ_PORTOFDISCHARGE,240,1)&lt;&gt;"",INDEX(OHZ_HAZ_DPGREF,240,1)&lt;&gt;"",INDEX(OHZ_HAZ_DGCLASSIFI,240,1)&lt;&gt;"",INDEX(OHZ_HAZ_TEXTUALREF,240,1)&lt;&gt;"",INDEX(OHZ_HAZ_IMOHAZARDC,240,1)&lt;&gt;"",INDEX(OHZ_HAZ_UNNUMBER,240,1)&lt;&gt;"",INDEX(OHZ_HAZ_TOTAMOUNT,240,1)&lt;&gt;"",INDEX(OHZ_HAZ_PACKINGGRO,240,1)&lt;&gt;"",INDEX(OHZ_HAZ_FLASHPOINT,240,1)&lt;&gt;"",INDEX(OHZ_HAZ_MARPOLCODE,240,1)&lt;&gt;"",INDEX(OHZ_HAZ_PACTYPE,240,1)&lt;&gt;"",INDEX(OHZ_HAZ_TOTALPACKA,240,1)&lt;&gt;"",INDEX(OHZ_HAZ_ADDITIONAL,240,1)&lt;&gt;"",INDEX(OHZ_HAZ_EMS,240,1)&lt;&gt;"",INDEX(OHZ_HAZ_SUBSIDIARY,240,1)&lt;&gt;"",INDEX(OHZ_HAZ_UNITTYPE,240,1)&lt;&gt;"",INDEX(OHZ_HAZ_TEUID,240,1)&lt;&gt;"",INDEX(OHZ_HAZ_LOCATION,240,1)&lt;&gt;"",INDEX(OHZ_HAZ_PACKAGES,240,1)&lt;&gt;"",INDEX(OHZ_HAZ_AMOUNT,240,1)&lt;&gt;"",),IF(OR(INDEX(OHZ_HAZ_DGCLASSIFI,240,1)="",INDEX(OHZ_HAZ_TEXTUALREF,240,1)="",INDEX(OHZ_HAZ_TOTAMOUNT,240,1)="",INDEX(OHZ_HAZ_DPGREF,240,1)="",INDEX(OHZ_HAZ_CONSIGNMENT,240,1)="",),FALSE,TRUE),TRUE)</f>
        <v>1</v>
      </c>
      <c r="K247" s="237" t="str">
        <f t="shared" si="8"/>
        <v>Row 240 - All mandatory fields must be given</v>
      </c>
      <c r="L247" s="236" t="s">
        <v>1853</v>
      </c>
      <c r="S247" s="52"/>
      <c r="T247" s="52" t="s">
        <v>2332</v>
      </c>
      <c r="V247" s="52"/>
    </row>
    <row r="248" spans="6:22">
      <c r="F248" s="236" t="s">
        <v>1853</v>
      </c>
      <c r="G248" s="250" t="b">
        <f>IF(OR(INDEX(IHZ_HAZ_CONSIGNMENT,241,1)&lt;&gt;"",INDEX(IHZ_HAZ_TRANSDOCID,241,1)&lt;&gt;"",INDEX(IHZ_HAZ_PORTOFLOADING,241,1)&lt;&gt;"",INDEX(IHZ_HAZ_PORTOFDISCHARGE,241,1)&lt;&gt;"",INDEX(IHZ_HAZ_DPGREF,241,1)&lt;&gt;"",INDEX(IHZ_HAZ_DGCLASSIFI,241,1)&lt;&gt;"",INDEX(IHZ_HAZ_TEXTUALREF,241,1)&lt;&gt;"",INDEX(IHZ_HAZ_IMOHAZARDC,241,1)&lt;&gt;"",INDEX(IHZ_HAZ_UNNUMBER,241,1)&lt;&gt;"",INDEX(IHZ_HAZ_TOTAMOUNT,241,1)&lt;&gt;"",INDEX(IHZ_HAZ_PACKINGGRO,241,1)&lt;&gt;"",INDEX(IHZ_HAZ_FLASHPOINT,241,1)&lt;&gt;"",INDEX(IHZ_HAZ_MARPOLCODE,241,1)&lt;&gt;"",INDEX(IHZ_HAZ_PACTYPE,241,1)&lt;&gt;"",INDEX(IHZ_HAZ_TOTALPACKA,241,1)&lt;&gt;"",INDEX(IHZ_HAZ_ADDITIONAL,241,1)&lt;&gt;"",INDEX(IHZ_HAZ_EMS,241,1)&lt;&gt;"",INDEX(IHZ_HAZ_SUBSIDIARY,241,1)&lt;&gt;"",INDEX(IHZ_HAZ_UNITTYPE,241,1)&lt;&gt;"",INDEX(IHZ_HAZ_TEUID,241,1)&lt;&gt;"",INDEX(IHZ_HAZ_LOCATION,241,1)&lt;&gt;"",INDEX(IHZ_HAZ_PACKAGES,241,1)&lt;&gt;"",INDEX(IHZ_HAZ_AMOUNT,241,1)&lt;&gt;"",),IF(OR(INDEX(IHZ_HAZ_DGCLASSIFI,241,1)="",INDEX(IHZ_HAZ_TEXTUALREF,241,1)="",INDEX(IHZ_HAZ_TOTAMOUNT,241,1)="",INDEX(IHZ_HAZ_DPGREF,241,1)="",INDEX(IHZ_HAZ_CONSIGNMENT,241,1)="",),FALSE,TRUE),TRUE)</f>
        <v>1</v>
      </c>
      <c r="H248" s="237" t="str">
        <f t="shared" si="7"/>
        <v>Row 241 - All mandatory fields must be given</v>
      </c>
      <c r="J248" s="52" t="b">
        <f>IF(OR(INDEX(OHZ_HAZ_CONSIGNMENT,241,1)&lt;&gt;"",INDEX(OHZ_HAZ_TRANSDOCID,241,1)&lt;&gt;"",INDEX(OHZ_HAZ_PORTOFLOADING,241,1)&lt;&gt;"",INDEX(OHZ_HAZ_PORTOFDISCHARGE,241,1)&lt;&gt;"",INDEX(OHZ_HAZ_DPGREF,241,1)&lt;&gt;"",INDEX(OHZ_HAZ_DGCLASSIFI,241,1)&lt;&gt;"",INDEX(OHZ_HAZ_TEXTUALREF,241,1)&lt;&gt;"",INDEX(OHZ_HAZ_IMOHAZARDC,241,1)&lt;&gt;"",INDEX(OHZ_HAZ_UNNUMBER,241,1)&lt;&gt;"",INDEX(OHZ_HAZ_TOTAMOUNT,241,1)&lt;&gt;"",INDEX(OHZ_HAZ_PACKINGGRO,241,1)&lt;&gt;"",INDEX(OHZ_HAZ_FLASHPOINT,241,1)&lt;&gt;"",INDEX(OHZ_HAZ_MARPOLCODE,241,1)&lt;&gt;"",INDEX(OHZ_HAZ_PACTYPE,241,1)&lt;&gt;"",INDEX(OHZ_HAZ_TOTALPACKA,241,1)&lt;&gt;"",INDEX(OHZ_HAZ_ADDITIONAL,241,1)&lt;&gt;"",INDEX(OHZ_HAZ_EMS,241,1)&lt;&gt;"",INDEX(OHZ_HAZ_SUBSIDIARY,241,1)&lt;&gt;"",INDEX(OHZ_HAZ_UNITTYPE,241,1)&lt;&gt;"",INDEX(OHZ_HAZ_TEUID,241,1)&lt;&gt;"",INDEX(OHZ_HAZ_LOCATION,241,1)&lt;&gt;"",INDEX(OHZ_HAZ_PACKAGES,241,1)&lt;&gt;"",INDEX(OHZ_HAZ_AMOUNT,241,1)&lt;&gt;"",),IF(OR(INDEX(OHZ_HAZ_DGCLASSIFI,241,1)="",INDEX(OHZ_HAZ_TEXTUALREF,241,1)="",INDEX(OHZ_HAZ_TOTAMOUNT,241,1)="",INDEX(OHZ_HAZ_DPGREF,241,1)="",INDEX(OHZ_HAZ_CONSIGNMENT,241,1)="",),FALSE,TRUE),TRUE)</f>
        <v>1</v>
      </c>
      <c r="K248" s="237" t="str">
        <f t="shared" si="8"/>
        <v>Row 241 - All mandatory fields must be given</v>
      </c>
      <c r="L248" s="236" t="s">
        <v>1853</v>
      </c>
      <c r="S248" s="52"/>
      <c r="T248" s="52" t="s">
        <v>2333</v>
      </c>
      <c r="V248" s="52"/>
    </row>
    <row r="249" spans="6:22">
      <c r="F249" s="236" t="s">
        <v>1853</v>
      </c>
      <c r="G249" s="250" t="b">
        <f>IF(OR(INDEX(IHZ_HAZ_CONSIGNMENT,242,1)&lt;&gt;"",INDEX(IHZ_HAZ_TRANSDOCID,242,1)&lt;&gt;"",INDEX(IHZ_HAZ_PORTOFLOADING,242,1)&lt;&gt;"",INDEX(IHZ_HAZ_PORTOFDISCHARGE,242,1)&lt;&gt;"",INDEX(IHZ_HAZ_DPGREF,242,1)&lt;&gt;"",INDEX(IHZ_HAZ_DGCLASSIFI,242,1)&lt;&gt;"",INDEX(IHZ_HAZ_TEXTUALREF,242,1)&lt;&gt;"",INDEX(IHZ_HAZ_IMOHAZARDC,242,1)&lt;&gt;"",INDEX(IHZ_HAZ_UNNUMBER,242,1)&lt;&gt;"",INDEX(IHZ_HAZ_TOTAMOUNT,242,1)&lt;&gt;"",INDEX(IHZ_HAZ_PACKINGGRO,242,1)&lt;&gt;"",INDEX(IHZ_HAZ_FLASHPOINT,242,1)&lt;&gt;"",INDEX(IHZ_HAZ_MARPOLCODE,242,1)&lt;&gt;"",INDEX(IHZ_HAZ_PACTYPE,242,1)&lt;&gt;"",INDEX(IHZ_HAZ_TOTALPACKA,242,1)&lt;&gt;"",INDEX(IHZ_HAZ_ADDITIONAL,242,1)&lt;&gt;"",INDEX(IHZ_HAZ_EMS,242,1)&lt;&gt;"",INDEX(IHZ_HAZ_SUBSIDIARY,242,1)&lt;&gt;"",INDEX(IHZ_HAZ_UNITTYPE,242,1)&lt;&gt;"",INDEX(IHZ_HAZ_TEUID,242,1)&lt;&gt;"",INDEX(IHZ_HAZ_LOCATION,242,1)&lt;&gt;"",INDEX(IHZ_HAZ_PACKAGES,242,1)&lt;&gt;"",INDEX(IHZ_HAZ_AMOUNT,242,1)&lt;&gt;"",),IF(OR(INDEX(IHZ_HAZ_DGCLASSIFI,242,1)="",INDEX(IHZ_HAZ_TEXTUALREF,242,1)="",INDEX(IHZ_HAZ_TOTAMOUNT,242,1)="",INDEX(IHZ_HAZ_DPGREF,242,1)="",INDEX(IHZ_HAZ_CONSIGNMENT,242,1)="",),FALSE,TRUE),TRUE)</f>
        <v>1</v>
      </c>
      <c r="H249" s="237" t="str">
        <f t="shared" si="7"/>
        <v>Row 242 - All mandatory fields must be given</v>
      </c>
      <c r="J249" s="52" t="b">
        <f>IF(OR(INDEX(OHZ_HAZ_CONSIGNMENT,242,1)&lt;&gt;"",INDEX(OHZ_HAZ_TRANSDOCID,242,1)&lt;&gt;"",INDEX(OHZ_HAZ_PORTOFLOADING,242,1)&lt;&gt;"",INDEX(OHZ_HAZ_PORTOFDISCHARGE,242,1)&lt;&gt;"",INDEX(OHZ_HAZ_DPGREF,242,1)&lt;&gt;"",INDEX(OHZ_HAZ_DGCLASSIFI,242,1)&lt;&gt;"",INDEX(OHZ_HAZ_TEXTUALREF,242,1)&lt;&gt;"",INDEX(OHZ_HAZ_IMOHAZARDC,242,1)&lt;&gt;"",INDEX(OHZ_HAZ_UNNUMBER,242,1)&lt;&gt;"",INDEX(OHZ_HAZ_TOTAMOUNT,242,1)&lt;&gt;"",INDEX(OHZ_HAZ_PACKINGGRO,242,1)&lt;&gt;"",INDEX(OHZ_HAZ_FLASHPOINT,242,1)&lt;&gt;"",INDEX(OHZ_HAZ_MARPOLCODE,242,1)&lt;&gt;"",INDEX(OHZ_HAZ_PACTYPE,242,1)&lt;&gt;"",INDEX(OHZ_HAZ_TOTALPACKA,242,1)&lt;&gt;"",INDEX(OHZ_HAZ_ADDITIONAL,242,1)&lt;&gt;"",INDEX(OHZ_HAZ_EMS,242,1)&lt;&gt;"",INDEX(OHZ_HAZ_SUBSIDIARY,242,1)&lt;&gt;"",INDEX(OHZ_HAZ_UNITTYPE,242,1)&lt;&gt;"",INDEX(OHZ_HAZ_TEUID,242,1)&lt;&gt;"",INDEX(OHZ_HAZ_LOCATION,242,1)&lt;&gt;"",INDEX(OHZ_HAZ_PACKAGES,242,1)&lt;&gt;"",INDEX(OHZ_HAZ_AMOUNT,242,1)&lt;&gt;"",),IF(OR(INDEX(OHZ_HAZ_DGCLASSIFI,242,1)="",INDEX(OHZ_HAZ_TEXTUALREF,242,1)="",INDEX(OHZ_HAZ_TOTAMOUNT,242,1)="",INDEX(OHZ_HAZ_DPGREF,242,1)="",INDEX(OHZ_HAZ_CONSIGNMENT,242,1)="",),FALSE,TRUE),TRUE)</f>
        <v>1</v>
      </c>
      <c r="K249" s="237" t="str">
        <f t="shared" si="8"/>
        <v>Row 242 - All mandatory fields must be given</v>
      </c>
      <c r="L249" s="236" t="s">
        <v>1853</v>
      </c>
      <c r="S249" s="52"/>
      <c r="T249" s="52" t="s">
        <v>2334</v>
      </c>
      <c r="V249" s="52"/>
    </row>
    <row r="250" spans="6:22">
      <c r="F250" s="236" t="s">
        <v>1853</v>
      </c>
      <c r="G250" s="250" t="b">
        <f>IF(OR(INDEX(IHZ_HAZ_CONSIGNMENT,243,1)&lt;&gt;"",INDEX(IHZ_HAZ_TRANSDOCID,243,1)&lt;&gt;"",INDEX(IHZ_HAZ_PORTOFLOADING,243,1)&lt;&gt;"",INDEX(IHZ_HAZ_PORTOFDISCHARGE,243,1)&lt;&gt;"",INDEX(IHZ_HAZ_DPGREF,243,1)&lt;&gt;"",INDEX(IHZ_HAZ_DGCLASSIFI,243,1)&lt;&gt;"",INDEX(IHZ_HAZ_TEXTUALREF,243,1)&lt;&gt;"",INDEX(IHZ_HAZ_IMOHAZARDC,243,1)&lt;&gt;"",INDEX(IHZ_HAZ_UNNUMBER,243,1)&lt;&gt;"",INDEX(IHZ_HAZ_TOTAMOUNT,243,1)&lt;&gt;"",INDEX(IHZ_HAZ_PACKINGGRO,243,1)&lt;&gt;"",INDEX(IHZ_HAZ_FLASHPOINT,243,1)&lt;&gt;"",INDEX(IHZ_HAZ_MARPOLCODE,243,1)&lt;&gt;"",INDEX(IHZ_HAZ_PACTYPE,243,1)&lt;&gt;"",INDEX(IHZ_HAZ_TOTALPACKA,243,1)&lt;&gt;"",INDEX(IHZ_HAZ_ADDITIONAL,243,1)&lt;&gt;"",INDEX(IHZ_HAZ_EMS,243,1)&lt;&gt;"",INDEX(IHZ_HAZ_SUBSIDIARY,243,1)&lt;&gt;"",INDEX(IHZ_HAZ_UNITTYPE,243,1)&lt;&gt;"",INDEX(IHZ_HAZ_TEUID,243,1)&lt;&gt;"",INDEX(IHZ_HAZ_LOCATION,243,1)&lt;&gt;"",INDEX(IHZ_HAZ_PACKAGES,243,1)&lt;&gt;"",INDEX(IHZ_HAZ_AMOUNT,243,1)&lt;&gt;"",),IF(OR(INDEX(IHZ_HAZ_DGCLASSIFI,243,1)="",INDEX(IHZ_HAZ_TEXTUALREF,243,1)="",INDEX(IHZ_HAZ_TOTAMOUNT,243,1)="",INDEX(IHZ_HAZ_DPGREF,243,1)="",INDEX(IHZ_HAZ_CONSIGNMENT,243,1)="",),FALSE,TRUE),TRUE)</f>
        <v>1</v>
      </c>
      <c r="H250" s="237" t="str">
        <f t="shared" si="7"/>
        <v>Row 243 - All mandatory fields must be given</v>
      </c>
      <c r="J250" s="52" t="b">
        <f>IF(OR(INDEX(OHZ_HAZ_CONSIGNMENT,243,1)&lt;&gt;"",INDEX(OHZ_HAZ_TRANSDOCID,243,1)&lt;&gt;"",INDEX(OHZ_HAZ_PORTOFLOADING,243,1)&lt;&gt;"",INDEX(OHZ_HAZ_PORTOFDISCHARGE,243,1)&lt;&gt;"",INDEX(OHZ_HAZ_DPGREF,243,1)&lt;&gt;"",INDEX(OHZ_HAZ_DGCLASSIFI,243,1)&lt;&gt;"",INDEX(OHZ_HAZ_TEXTUALREF,243,1)&lt;&gt;"",INDEX(OHZ_HAZ_IMOHAZARDC,243,1)&lt;&gt;"",INDEX(OHZ_HAZ_UNNUMBER,243,1)&lt;&gt;"",INDEX(OHZ_HAZ_TOTAMOUNT,243,1)&lt;&gt;"",INDEX(OHZ_HAZ_PACKINGGRO,243,1)&lt;&gt;"",INDEX(OHZ_HAZ_FLASHPOINT,243,1)&lt;&gt;"",INDEX(OHZ_HAZ_MARPOLCODE,243,1)&lt;&gt;"",INDEX(OHZ_HAZ_PACTYPE,243,1)&lt;&gt;"",INDEX(OHZ_HAZ_TOTALPACKA,243,1)&lt;&gt;"",INDEX(OHZ_HAZ_ADDITIONAL,243,1)&lt;&gt;"",INDEX(OHZ_HAZ_EMS,243,1)&lt;&gt;"",INDEX(OHZ_HAZ_SUBSIDIARY,243,1)&lt;&gt;"",INDEX(OHZ_HAZ_UNITTYPE,243,1)&lt;&gt;"",INDEX(OHZ_HAZ_TEUID,243,1)&lt;&gt;"",INDEX(OHZ_HAZ_LOCATION,243,1)&lt;&gt;"",INDEX(OHZ_HAZ_PACKAGES,243,1)&lt;&gt;"",INDEX(OHZ_HAZ_AMOUNT,243,1)&lt;&gt;"",),IF(OR(INDEX(OHZ_HAZ_DGCLASSIFI,243,1)="",INDEX(OHZ_HAZ_TEXTUALREF,243,1)="",INDEX(OHZ_HAZ_TOTAMOUNT,243,1)="",INDEX(OHZ_HAZ_DPGREF,243,1)="",INDEX(OHZ_HAZ_CONSIGNMENT,243,1)="",),FALSE,TRUE),TRUE)</f>
        <v>1</v>
      </c>
      <c r="K250" s="237" t="str">
        <f t="shared" si="8"/>
        <v>Row 243 - All mandatory fields must be given</v>
      </c>
      <c r="L250" s="236" t="s">
        <v>1853</v>
      </c>
      <c r="S250" s="52"/>
      <c r="T250" s="52" t="s">
        <v>2335</v>
      </c>
      <c r="V250" s="52"/>
    </row>
    <row r="251" spans="6:22">
      <c r="F251" s="236" t="s">
        <v>1853</v>
      </c>
      <c r="G251" s="250" t="b">
        <f>IF(OR(INDEX(IHZ_HAZ_CONSIGNMENT,244,1)&lt;&gt;"",INDEX(IHZ_HAZ_TRANSDOCID,244,1)&lt;&gt;"",INDEX(IHZ_HAZ_PORTOFLOADING,244,1)&lt;&gt;"",INDEX(IHZ_HAZ_PORTOFDISCHARGE,244,1)&lt;&gt;"",INDEX(IHZ_HAZ_DPGREF,244,1)&lt;&gt;"",INDEX(IHZ_HAZ_DGCLASSIFI,244,1)&lt;&gt;"",INDEX(IHZ_HAZ_TEXTUALREF,244,1)&lt;&gt;"",INDEX(IHZ_HAZ_IMOHAZARDC,244,1)&lt;&gt;"",INDEX(IHZ_HAZ_UNNUMBER,244,1)&lt;&gt;"",INDEX(IHZ_HAZ_TOTAMOUNT,244,1)&lt;&gt;"",INDEX(IHZ_HAZ_PACKINGGRO,244,1)&lt;&gt;"",INDEX(IHZ_HAZ_FLASHPOINT,244,1)&lt;&gt;"",INDEX(IHZ_HAZ_MARPOLCODE,244,1)&lt;&gt;"",INDEX(IHZ_HAZ_PACTYPE,244,1)&lt;&gt;"",INDEX(IHZ_HAZ_TOTALPACKA,244,1)&lt;&gt;"",INDEX(IHZ_HAZ_ADDITIONAL,244,1)&lt;&gt;"",INDEX(IHZ_HAZ_EMS,244,1)&lt;&gt;"",INDEX(IHZ_HAZ_SUBSIDIARY,244,1)&lt;&gt;"",INDEX(IHZ_HAZ_UNITTYPE,244,1)&lt;&gt;"",INDEX(IHZ_HAZ_TEUID,244,1)&lt;&gt;"",INDEX(IHZ_HAZ_LOCATION,244,1)&lt;&gt;"",INDEX(IHZ_HAZ_PACKAGES,244,1)&lt;&gt;"",INDEX(IHZ_HAZ_AMOUNT,244,1)&lt;&gt;"",),IF(OR(INDEX(IHZ_HAZ_DGCLASSIFI,244,1)="",INDEX(IHZ_HAZ_TEXTUALREF,244,1)="",INDEX(IHZ_HAZ_TOTAMOUNT,244,1)="",INDEX(IHZ_HAZ_DPGREF,244,1)="",INDEX(IHZ_HAZ_CONSIGNMENT,244,1)="",),FALSE,TRUE),TRUE)</f>
        <v>1</v>
      </c>
      <c r="H251" s="237" t="str">
        <f t="shared" si="7"/>
        <v>Row 244 - All mandatory fields must be given</v>
      </c>
      <c r="J251" s="52" t="b">
        <f>IF(OR(INDEX(OHZ_HAZ_CONSIGNMENT,244,1)&lt;&gt;"",INDEX(OHZ_HAZ_TRANSDOCID,244,1)&lt;&gt;"",INDEX(OHZ_HAZ_PORTOFLOADING,244,1)&lt;&gt;"",INDEX(OHZ_HAZ_PORTOFDISCHARGE,244,1)&lt;&gt;"",INDEX(OHZ_HAZ_DPGREF,244,1)&lt;&gt;"",INDEX(OHZ_HAZ_DGCLASSIFI,244,1)&lt;&gt;"",INDEX(OHZ_HAZ_TEXTUALREF,244,1)&lt;&gt;"",INDEX(OHZ_HAZ_IMOHAZARDC,244,1)&lt;&gt;"",INDEX(OHZ_HAZ_UNNUMBER,244,1)&lt;&gt;"",INDEX(OHZ_HAZ_TOTAMOUNT,244,1)&lt;&gt;"",INDEX(OHZ_HAZ_PACKINGGRO,244,1)&lt;&gt;"",INDEX(OHZ_HAZ_FLASHPOINT,244,1)&lt;&gt;"",INDEX(OHZ_HAZ_MARPOLCODE,244,1)&lt;&gt;"",INDEX(OHZ_HAZ_PACTYPE,244,1)&lt;&gt;"",INDEX(OHZ_HAZ_TOTALPACKA,244,1)&lt;&gt;"",INDEX(OHZ_HAZ_ADDITIONAL,244,1)&lt;&gt;"",INDEX(OHZ_HAZ_EMS,244,1)&lt;&gt;"",INDEX(OHZ_HAZ_SUBSIDIARY,244,1)&lt;&gt;"",INDEX(OHZ_HAZ_UNITTYPE,244,1)&lt;&gt;"",INDEX(OHZ_HAZ_TEUID,244,1)&lt;&gt;"",INDEX(OHZ_HAZ_LOCATION,244,1)&lt;&gt;"",INDEX(OHZ_HAZ_PACKAGES,244,1)&lt;&gt;"",INDEX(OHZ_HAZ_AMOUNT,244,1)&lt;&gt;"",),IF(OR(INDEX(OHZ_HAZ_DGCLASSIFI,244,1)="",INDEX(OHZ_HAZ_TEXTUALREF,244,1)="",INDEX(OHZ_HAZ_TOTAMOUNT,244,1)="",INDEX(OHZ_HAZ_DPGREF,244,1)="",INDEX(OHZ_HAZ_CONSIGNMENT,244,1)="",),FALSE,TRUE),TRUE)</f>
        <v>1</v>
      </c>
      <c r="K251" s="237" t="str">
        <f t="shared" si="8"/>
        <v>Row 244 - All mandatory fields must be given</v>
      </c>
      <c r="L251" s="236" t="s">
        <v>1853</v>
      </c>
      <c r="S251" s="52"/>
      <c r="V251" s="52"/>
    </row>
    <row r="252" spans="6:22">
      <c r="F252" s="236" t="s">
        <v>1853</v>
      </c>
      <c r="G252" s="250" t="b">
        <f>IF(OR(INDEX(IHZ_HAZ_CONSIGNMENT,245,1)&lt;&gt;"",INDEX(IHZ_HAZ_TRANSDOCID,245,1)&lt;&gt;"",INDEX(IHZ_HAZ_PORTOFLOADING,245,1)&lt;&gt;"",INDEX(IHZ_HAZ_PORTOFDISCHARGE,245,1)&lt;&gt;"",INDEX(IHZ_HAZ_DPGREF,245,1)&lt;&gt;"",INDEX(IHZ_HAZ_DGCLASSIFI,245,1)&lt;&gt;"",INDEX(IHZ_HAZ_TEXTUALREF,245,1)&lt;&gt;"",INDEX(IHZ_HAZ_IMOHAZARDC,245,1)&lt;&gt;"",INDEX(IHZ_HAZ_UNNUMBER,245,1)&lt;&gt;"",INDEX(IHZ_HAZ_TOTAMOUNT,245,1)&lt;&gt;"",INDEX(IHZ_HAZ_PACKINGGRO,245,1)&lt;&gt;"",INDEX(IHZ_HAZ_FLASHPOINT,245,1)&lt;&gt;"",INDEX(IHZ_HAZ_MARPOLCODE,245,1)&lt;&gt;"",INDEX(IHZ_HAZ_PACTYPE,245,1)&lt;&gt;"",INDEX(IHZ_HAZ_TOTALPACKA,245,1)&lt;&gt;"",INDEX(IHZ_HAZ_ADDITIONAL,245,1)&lt;&gt;"",INDEX(IHZ_HAZ_EMS,245,1)&lt;&gt;"",INDEX(IHZ_HAZ_SUBSIDIARY,245,1)&lt;&gt;"",INDEX(IHZ_HAZ_UNITTYPE,245,1)&lt;&gt;"",INDEX(IHZ_HAZ_TEUID,245,1)&lt;&gt;"",INDEX(IHZ_HAZ_LOCATION,245,1)&lt;&gt;"",INDEX(IHZ_HAZ_PACKAGES,245,1)&lt;&gt;"",INDEX(IHZ_HAZ_AMOUNT,245,1)&lt;&gt;"",),IF(OR(INDEX(IHZ_HAZ_DGCLASSIFI,245,1)="",INDEX(IHZ_HAZ_TEXTUALREF,245,1)="",INDEX(IHZ_HAZ_TOTAMOUNT,245,1)="",INDEX(IHZ_HAZ_DPGREF,245,1)="",INDEX(IHZ_HAZ_CONSIGNMENT,245,1)="",),FALSE,TRUE),TRUE)</f>
        <v>1</v>
      </c>
      <c r="H252" s="237" t="str">
        <f t="shared" si="7"/>
        <v>Row 245 - All mandatory fields must be given</v>
      </c>
      <c r="J252" s="52" t="b">
        <f>IF(OR(INDEX(OHZ_HAZ_CONSIGNMENT,245,1)&lt;&gt;"",INDEX(OHZ_HAZ_TRANSDOCID,245,1)&lt;&gt;"",INDEX(OHZ_HAZ_PORTOFLOADING,245,1)&lt;&gt;"",INDEX(OHZ_HAZ_PORTOFDISCHARGE,245,1)&lt;&gt;"",INDEX(OHZ_HAZ_DPGREF,245,1)&lt;&gt;"",INDEX(OHZ_HAZ_DGCLASSIFI,245,1)&lt;&gt;"",INDEX(OHZ_HAZ_TEXTUALREF,245,1)&lt;&gt;"",INDEX(OHZ_HAZ_IMOHAZARDC,245,1)&lt;&gt;"",INDEX(OHZ_HAZ_UNNUMBER,245,1)&lt;&gt;"",INDEX(OHZ_HAZ_TOTAMOUNT,245,1)&lt;&gt;"",INDEX(OHZ_HAZ_PACKINGGRO,245,1)&lt;&gt;"",INDEX(OHZ_HAZ_FLASHPOINT,245,1)&lt;&gt;"",INDEX(OHZ_HAZ_MARPOLCODE,245,1)&lt;&gt;"",INDEX(OHZ_HAZ_PACTYPE,245,1)&lt;&gt;"",INDEX(OHZ_HAZ_TOTALPACKA,245,1)&lt;&gt;"",INDEX(OHZ_HAZ_ADDITIONAL,245,1)&lt;&gt;"",INDEX(OHZ_HAZ_EMS,245,1)&lt;&gt;"",INDEX(OHZ_HAZ_SUBSIDIARY,245,1)&lt;&gt;"",INDEX(OHZ_HAZ_UNITTYPE,245,1)&lt;&gt;"",INDEX(OHZ_HAZ_TEUID,245,1)&lt;&gt;"",INDEX(OHZ_HAZ_LOCATION,245,1)&lt;&gt;"",INDEX(OHZ_HAZ_PACKAGES,245,1)&lt;&gt;"",INDEX(OHZ_HAZ_AMOUNT,245,1)&lt;&gt;"",),IF(OR(INDEX(OHZ_HAZ_DGCLASSIFI,245,1)="",INDEX(OHZ_HAZ_TEXTUALREF,245,1)="",INDEX(OHZ_HAZ_TOTAMOUNT,245,1)="",INDEX(OHZ_HAZ_DPGREF,245,1)="",INDEX(OHZ_HAZ_CONSIGNMENT,245,1)="",),FALSE,TRUE),TRUE)</f>
        <v>1</v>
      </c>
      <c r="K252" s="237" t="str">
        <f t="shared" si="8"/>
        <v>Row 245 - All mandatory fields must be given</v>
      </c>
      <c r="L252" s="236" t="s">
        <v>1853</v>
      </c>
      <c r="S252" s="52"/>
    </row>
    <row r="253" spans="6:22">
      <c r="F253" s="236" t="s">
        <v>1853</v>
      </c>
      <c r="G253" s="250" t="b">
        <f>IF(OR(INDEX(IHZ_HAZ_CONSIGNMENT,246,1)&lt;&gt;"",INDEX(IHZ_HAZ_TRANSDOCID,246,1)&lt;&gt;"",INDEX(IHZ_HAZ_PORTOFLOADING,246,1)&lt;&gt;"",INDEX(IHZ_HAZ_PORTOFDISCHARGE,246,1)&lt;&gt;"",INDEX(IHZ_HAZ_DPGREF,246,1)&lt;&gt;"",INDEX(IHZ_HAZ_DGCLASSIFI,246,1)&lt;&gt;"",INDEX(IHZ_HAZ_TEXTUALREF,246,1)&lt;&gt;"",INDEX(IHZ_HAZ_IMOHAZARDC,246,1)&lt;&gt;"",INDEX(IHZ_HAZ_UNNUMBER,246,1)&lt;&gt;"",INDEX(IHZ_HAZ_TOTAMOUNT,246,1)&lt;&gt;"",INDEX(IHZ_HAZ_PACKINGGRO,246,1)&lt;&gt;"",INDEX(IHZ_HAZ_FLASHPOINT,246,1)&lt;&gt;"",INDEX(IHZ_HAZ_MARPOLCODE,246,1)&lt;&gt;"",INDEX(IHZ_HAZ_PACTYPE,246,1)&lt;&gt;"",INDEX(IHZ_HAZ_TOTALPACKA,246,1)&lt;&gt;"",INDEX(IHZ_HAZ_ADDITIONAL,246,1)&lt;&gt;"",INDEX(IHZ_HAZ_EMS,246,1)&lt;&gt;"",INDEX(IHZ_HAZ_SUBSIDIARY,246,1)&lt;&gt;"",INDEX(IHZ_HAZ_UNITTYPE,246,1)&lt;&gt;"",INDEX(IHZ_HAZ_TEUID,246,1)&lt;&gt;"",INDEX(IHZ_HAZ_LOCATION,246,1)&lt;&gt;"",INDEX(IHZ_HAZ_PACKAGES,246,1)&lt;&gt;"",INDEX(IHZ_HAZ_AMOUNT,246,1)&lt;&gt;"",),IF(OR(INDEX(IHZ_HAZ_DGCLASSIFI,246,1)="",INDEX(IHZ_HAZ_TEXTUALREF,246,1)="",INDEX(IHZ_HAZ_TOTAMOUNT,246,1)="",INDEX(IHZ_HAZ_DPGREF,246,1)="",INDEX(IHZ_HAZ_CONSIGNMENT,246,1)="",),FALSE,TRUE),TRUE)</f>
        <v>1</v>
      </c>
      <c r="H253" s="237" t="str">
        <f t="shared" si="7"/>
        <v>Row 246 - All mandatory fields must be given</v>
      </c>
      <c r="J253" s="52" t="b">
        <f>IF(OR(INDEX(OHZ_HAZ_CONSIGNMENT,246,1)&lt;&gt;"",INDEX(OHZ_HAZ_TRANSDOCID,246,1)&lt;&gt;"",INDEX(OHZ_HAZ_PORTOFLOADING,246,1)&lt;&gt;"",INDEX(OHZ_HAZ_PORTOFDISCHARGE,246,1)&lt;&gt;"",INDEX(OHZ_HAZ_DPGREF,246,1)&lt;&gt;"",INDEX(OHZ_HAZ_DGCLASSIFI,246,1)&lt;&gt;"",INDEX(OHZ_HAZ_TEXTUALREF,246,1)&lt;&gt;"",INDEX(OHZ_HAZ_IMOHAZARDC,246,1)&lt;&gt;"",INDEX(OHZ_HAZ_UNNUMBER,246,1)&lt;&gt;"",INDEX(OHZ_HAZ_TOTAMOUNT,246,1)&lt;&gt;"",INDEX(OHZ_HAZ_PACKINGGRO,246,1)&lt;&gt;"",INDEX(OHZ_HAZ_FLASHPOINT,246,1)&lt;&gt;"",INDEX(OHZ_HAZ_MARPOLCODE,246,1)&lt;&gt;"",INDEX(OHZ_HAZ_PACTYPE,246,1)&lt;&gt;"",INDEX(OHZ_HAZ_TOTALPACKA,246,1)&lt;&gt;"",INDEX(OHZ_HAZ_ADDITIONAL,246,1)&lt;&gt;"",INDEX(OHZ_HAZ_EMS,246,1)&lt;&gt;"",INDEX(OHZ_HAZ_SUBSIDIARY,246,1)&lt;&gt;"",INDEX(OHZ_HAZ_UNITTYPE,246,1)&lt;&gt;"",INDEX(OHZ_HAZ_TEUID,246,1)&lt;&gt;"",INDEX(OHZ_HAZ_LOCATION,246,1)&lt;&gt;"",INDEX(OHZ_HAZ_PACKAGES,246,1)&lt;&gt;"",INDEX(OHZ_HAZ_AMOUNT,246,1)&lt;&gt;"",),IF(OR(INDEX(OHZ_HAZ_DGCLASSIFI,246,1)="",INDEX(OHZ_HAZ_TEXTUALREF,246,1)="",INDEX(OHZ_HAZ_TOTAMOUNT,246,1)="",INDEX(OHZ_HAZ_DPGREF,246,1)="",INDEX(OHZ_HAZ_CONSIGNMENT,246,1)="",),FALSE,TRUE),TRUE)</f>
        <v>1</v>
      </c>
      <c r="K253" s="237" t="str">
        <f t="shared" si="8"/>
        <v>Row 246 - All mandatory fields must be given</v>
      </c>
      <c r="L253" s="236" t="s">
        <v>1853</v>
      </c>
      <c r="S253" s="52"/>
    </row>
    <row r="254" spans="6:22">
      <c r="F254" s="236" t="s">
        <v>1853</v>
      </c>
      <c r="G254" s="250" t="b">
        <f>IF(OR(INDEX(IHZ_HAZ_CONSIGNMENT,247,1)&lt;&gt;"",INDEX(IHZ_HAZ_TRANSDOCID,247,1)&lt;&gt;"",INDEX(IHZ_HAZ_PORTOFLOADING,247,1)&lt;&gt;"",INDEX(IHZ_HAZ_PORTOFDISCHARGE,247,1)&lt;&gt;"",INDEX(IHZ_HAZ_DPGREF,247,1)&lt;&gt;"",INDEX(IHZ_HAZ_DGCLASSIFI,247,1)&lt;&gt;"",INDEX(IHZ_HAZ_TEXTUALREF,247,1)&lt;&gt;"",INDEX(IHZ_HAZ_IMOHAZARDC,247,1)&lt;&gt;"",INDEX(IHZ_HAZ_UNNUMBER,247,1)&lt;&gt;"",INDEX(IHZ_HAZ_TOTAMOUNT,247,1)&lt;&gt;"",INDEX(IHZ_HAZ_PACKINGGRO,247,1)&lt;&gt;"",INDEX(IHZ_HAZ_FLASHPOINT,247,1)&lt;&gt;"",INDEX(IHZ_HAZ_MARPOLCODE,247,1)&lt;&gt;"",INDEX(IHZ_HAZ_PACTYPE,247,1)&lt;&gt;"",INDEX(IHZ_HAZ_TOTALPACKA,247,1)&lt;&gt;"",INDEX(IHZ_HAZ_ADDITIONAL,247,1)&lt;&gt;"",INDEX(IHZ_HAZ_EMS,247,1)&lt;&gt;"",INDEX(IHZ_HAZ_SUBSIDIARY,247,1)&lt;&gt;"",INDEX(IHZ_HAZ_UNITTYPE,247,1)&lt;&gt;"",INDEX(IHZ_HAZ_TEUID,247,1)&lt;&gt;"",INDEX(IHZ_HAZ_LOCATION,247,1)&lt;&gt;"",INDEX(IHZ_HAZ_PACKAGES,247,1)&lt;&gt;"",INDEX(IHZ_HAZ_AMOUNT,247,1)&lt;&gt;"",),IF(OR(INDEX(IHZ_HAZ_DGCLASSIFI,247,1)="",INDEX(IHZ_HAZ_TEXTUALREF,247,1)="",INDEX(IHZ_HAZ_TOTAMOUNT,247,1)="",INDEX(IHZ_HAZ_DPGREF,247,1)="",INDEX(IHZ_HAZ_CONSIGNMENT,247,1)="",),FALSE,TRUE),TRUE)</f>
        <v>1</v>
      </c>
      <c r="H254" s="237" t="str">
        <f t="shared" si="7"/>
        <v>Row 247 - All mandatory fields must be given</v>
      </c>
      <c r="J254" s="52" t="b">
        <f>IF(OR(INDEX(OHZ_HAZ_CONSIGNMENT,247,1)&lt;&gt;"",INDEX(OHZ_HAZ_TRANSDOCID,247,1)&lt;&gt;"",INDEX(OHZ_HAZ_PORTOFLOADING,247,1)&lt;&gt;"",INDEX(OHZ_HAZ_PORTOFDISCHARGE,247,1)&lt;&gt;"",INDEX(OHZ_HAZ_DPGREF,247,1)&lt;&gt;"",INDEX(OHZ_HAZ_DGCLASSIFI,247,1)&lt;&gt;"",INDEX(OHZ_HAZ_TEXTUALREF,247,1)&lt;&gt;"",INDEX(OHZ_HAZ_IMOHAZARDC,247,1)&lt;&gt;"",INDEX(OHZ_HAZ_UNNUMBER,247,1)&lt;&gt;"",INDEX(OHZ_HAZ_TOTAMOUNT,247,1)&lt;&gt;"",INDEX(OHZ_HAZ_PACKINGGRO,247,1)&lt;&gt;"",INDEX(OHZ_HAZ_FLASHPOINT,247,1)&lt;&gt;"",INDEX(OHZ_HAZ_MARPOLCODE,247,1)&lt;&gt;"",INDEX(OHZ_HAZ_PACTYPE,247,1)&lt;&gt;"",INDEX(OHZ_HAZ_TOTALPACKA,247,1)&lt;&gt;"",INDEX(OHZ_HAZ_ADDITIONAL,247,1)&lt;&gt;"",INDEX(OHZ_HAZ_EMS,247,1)&lt;&gt;"",INDEX(OHZ_HAZ_SUBSIDIARY,247,1)&lt;&gt;"",INDEX(OHZ_HAZ_UNITTYPE,247,1)&lt;&gt;"",INDEX(OHZ_HAZ_TEUID,247,1)&lt;&gt;"",INDEX(OHZ_HAZ_LOCATION,247,1)&lt;&gt;"",INDEX(OHZ_HAZ_PACKAGES,247,1)&lt;&gt;"",INDEX(OHZ_HAZ_AMOUNT,247,1)&lt;&gt;"",),IF(OR(INDEX(OHZ_HAZ_DGCLASSIFI,247,1)="",INDEX(OHZ_HAZ_TEXTUALREF,247,1)="",INDEX(OHZ_HAZ_TOTAMOUNT,247,1)="",INDEX(OHZ_HAZ_DPGREF,247,1)="",INDEX(OHZ_HAZ_CONSIGNMENT,247,1)="",),FALSE,TRUE),TRUE)</f>
        <v>1</v>
      </c>
      <c r="K254" s="237" t="str">
        <f t="shared" si="8"/>
        <v>Row 247 - All mandatory fields must be given</v>
      </c>
      <c r="L254" s="236" t="s">
        <v>1853</v>
      </c>
      <c r="S254" s="52"/>
    </row>
    <row r="255" spans="6:22">
      <c r="F255" s="236" t="s">
        <v>1853</v>
      </c>
      <c r="G255" s="250" t="b">
        <f>IF(OR(INDEX(IHZ_HAZ_CONSIGNMENT,248,1)&lt;&gt;"",INDEX(IHZ_HAZ_TRANSDOCID,248,1)&lt;&gt;"",INDEX(IHZ_HAZ_PORTOFLOADING,248,1)&lt;&gt;"",INDEX(IHZ_HAZ_PORTOFDISCHARGE,248,1)&lt;&gt;"",INDEX(IHZ_HAZ_DPGREF,248,1)&lt;&gt;"",INDEX(IHZ_HAZ_DGCLASSIFI,248,1)&lt;&gt;"",INDEX(IHZ_HAZ_TEXTUALREF,248,1)&lt;&gt;"",INDEX(IHZ_HAZ_IMOHAZARDC,248,1)&lt;&gt;"",INDEX(IHZ_HAZ_UNNUMBER,248,1)&lt;&gt;"",INDEX(IHZ_HAZ_TOTAMOUNT,248,1)&lt;&gt;"",INDEX(IHZ_HAZ_PACKINGGRO,248,1)&lt;&gt;"",INDEX(IHZ_HAZ_FLASHPOINT,248,1)&lt;&gt;"",INDEX(IHZ_HAZ_MARPOLCODE,248,1)&lt;&gt;"",INDEX(IHZ_HAZ_PACTYPE,248,1)&lt;&gt;"",INDEX(IHZ_HAZ_TOTALPACKA,248,1)&lt;&gt;"",INDEX(IHZ_HAZ_ADDITIONAL,248,1)&lt;&gt;"",INDEX(IHZ_HAZ_EMS,248,1)&lt;&gt;"",INDEX(IHZ_HAZ_SUBSIDIARY,248,1)&lt;&gt;"",INDEX(IHZ_HAZ_UNITTYPE,248,1)&lt;&gt;"",INDEX(IHZ_HAZ_TEUID,248,1)&lt;&gt;"",INDEX(IHZ_HAZ_LOCATION,248,1)&lt;&gt;"",INDEX(IHZ_HAZ_PACKAGES,248,1)&lt;&gt;"",INDEX(IHZ_HAZ_AMOUNT,248,1)&lt;&gt;"",),IF(OR(INDEX(IHZ_HAZ_DGCLASSIFI,248,1)="",INDEX(IHZ_HAZ_TEXTUALREF,248,1)="",INDEX(IHZ_HAZ_TOTAMOUNT,248,1)="",INDEX(IHZ_HAZ_DPGREF,248,1)="",INDEX(IHZ_HAZ_CONSIGNMENT,248,1)="",),FALSE,TRUE),TRUE)</f>
        <v>1</v>
      </c>
      <c r="H255" s="237" t="str">
        <f t="shared" si="7"/>
        <v>Row 248 - All mandatory fields must be given</v>
      </c>
      <c r="J255" s="52" t="b">
        <f>IF(OR(INDEX(OHZ_HAZ_CONSIGNMENT,248,1)&lt;&gt;"",INDEX(OHZ_HAZ_TRANSDOCID,248,1)&lt;&gt;"",INDEX(OHZ_HAZ_PORTOFLOADING,248,1)&lt;&gt;"",INDEX(OHZ_HAZ_PORTOFDISCHARGE,248,1)&lt;&gt;"",INDEX(OHZ_HAZ_DPGREF,248,1)&lt;&gt;"",INDEX(OHZ_HAZ_DGCLASSIFI,248,1)&lt;&gt;"",INDEX(OHZ_HAZ_TEXTUALREF,248,1)&lt;&gt;"",INDEX(OHZ_HAZ_IMOHAZARDC,248,1)&lt;&gt;"",INDEX(OHZ_HAZ_UNNUMBER,248,1)&lt;&gt;"",INDEX(OHZ_HAZ_TOTAMOUNT,248,1)&lt;&gt;"",INDEX(OHZ_HAZ_PACKINGGRO,248,1)&lt;&gt;"",INDEX(OHZ_HAZ_FLASHPOINT,248,1)&lt;&gt;"",INDEX(OHZ_HAZ_MARPOLCODE,248,1)&lt;&gt;"",INDEX(OHZ_HAZ_PACTYPE,248,1)&lt;&gt;"",INDEX(OHZ_HAZ_TOTALPACKA,248,1)&lt;&gt;"",INDEX(OHZ_HAZ_ADDITIONAL,248,1)&lt;&gt;"",INDEX(OHZ_HAZ_EMS,248,1)&lt;&gt;"",INDEX(OHZ_HAZ_SUBSIDIARY,248,1)&lt;&gt;"",INDEX(OHZ_HAZ_UNITTYPE,248,1)&lt;&gt;"",INDEX(OHZ_HAZ_TEUID,248,1)&lt;&gt;"",INDEX(OHZ_HAZ_LOCATION,248,1)&lt;&gt;"",INDEX(OHZ_HAZ_PACKAGES,248,1)&lt;&gt;"",INDEX(OHZ_HAZ_AMOUNT,248,1)&lt;&gt;"",),IF(OR(INDEX(OHZ_HAZ_DGCLASSIFI,248,1)="",INDEX(OHZ_HAZ_TEXTUALREF,248,1)="",INDEX(OHZ_HAZ_TOTAMOUNT,248,1)="",INDEX(OHZ_HAZ_DPGREF,248,1)="",INDEX(OHZ_HAZ_CONSIGNMENT,248,1)="",),FALSE,TRUE),TRUE)</f>
        <v>1</v>
      </c>
      <c r="K255" s="237" t="str">
        <f t="shared" si="8"/>
        <v>Row 248 - All mandatory fields must be given</v>
      </c>
      <c r="L255" s="236" t="s">
        <v>1853</v>
      </c>
      <c r="S255" s="52"/>
    </row>
    <row r="256" spans="6:22">
      <c r="F256" s="236" t="s">
        <v>1853</v>
      </c>
      <c r="G256" s="250" t="b">
        <f>IF(OR(INDEX(IHZ_HAZ_CONSIGNMENT,249,1)&lt;&gt;"",INDEX(IHZ_HAZ_TRANSDOCID,249,1)&lt;&gt;"",INDEX(IHZ_HAZ_PORTOFLOADING,249,1)&lt;&gt;"",INDEX(IHZ_HAZ_PORTOFDISCHARGE,249,1)&lt;&gt;"",INDEX(IHZ_HAZ_DPGREF,249,1)&lt;&gt;"",INDEX(IHZ_HAZ_DGCLASSIFI,249,1)&lt;&gt;"",INDEX(IHZ_HAZ_TEXTUALREF,249,1)&lt;&gt;"",INDEX(IHZ_HAZ_IMOHAZARDC,249,1)&lt;&gt;"",INDEX(IHZ_HAZ_UNNUMBER,249,1)&lt;&gt;"",INDEX(IHZ_HAZ_TOTAMOUNT,249,1)&lt;&gt;"",INDEX(IHZ_HAZ_PACKINGGRO,249,1)&lt;&gt;"",INDEX(IHZ_HAZ_FLASHPOINT,249,1)&lt;&gt;"",INDEX(IHZ_HAZ_MARPOLCODE,249,1)&lt;&gt;"",INDEX(IHZ_HAZ_PACTYPE,249,1)&lt;&gt;"",INDEX(IHZ_HAZ_TOTALPACKA,249,1)&lt;&gt;"",INDEX(IHZ_HAZ_ADDITIONAL,249,1)&lt;&gt;"",INDEX(IHZ_HAZ_EMS,249,1)&lt;&gt;"",INDEX(IHZ_HAZ_SUBSIDIARY,249,1)&lt;&gt;"",INDEX(IHZ_HAZ_UNITTYPE,249,1)&lt;&gt;"",INDEX(IHZ_HAZ_TEUID,249,1)&lt;&gt;"",INDEX(IHZ_HAZ_LOCATION,249,1)&lt;&gt;"",INDEX(IHZ_HAZ_PACKAGES,249,1)&lt;&gt;"",INDEX(IHZ_HAZ_AMOUNT,249,1)&lt;&gt;"",),IF(OR(INDEX(IHZ_HAZ_DGCLASSIFI,249,1)="",INDEX(IHZ_HAZ_TEXTUALREF,249,1)="",INDEX(IHZ_HAZ_TOTAMOUNT,249,1)="",INDEX(IHZ_HAZ_DPGREF,249,1)="",INDEX(IHZ_HAZ_CONSIGNMENT,249,1)="",),FALSE,TRUE),TRUE)</f>
        <v>1</v>
      </c>
      <c r="H256" s="237" t="str">
        <f t="shared" si="7"/>
        <v>Row 249 - All mandatory fields must be given</v>
      </c>
      <c r="J256" s="52" t="b">
        <f>IF(OR(INDEX(OHZ_HAZ_CONSIGNMENT,249,1)&lt;&gt;"",INDEX(OHZ_HAZ_TRANSDOCID,249,1)&lt;&gt;"",INDEX(OHZ_HAZ_PORTOFLOADING,249,1)&lt;&gt;"",INDEX(OHZ_HAZ_PORTOFDISCHARGE,249,1)&lt;&gt;"",INDEX(OHZ_HAZ_DPGREF,249,1)&lt;&gt;"",INDEX(OHZ_HAZ_DGCLASSIFI,249,1)&lt;&gt;"",INDEX(OHZ_HAZ_TEXTUALREF,249,1)&lt;&gt;"",INDEX(OHZ_HAZ_IMOHAZARDC,249,1)&lt;&gt;"",INDEX(OHZ_HAZ_UNNUMBER,249,1)&lt;&gt;"",INDEX(OHZ_HAZ_TOTAMOUNT,249,1)&lt;&gt;"",INDEX(OHZ_HAZ_PACKINGGRO,249,1)&lt;&gt;"",INDEX(OHZ_HAZ_FLASHPOINT,249,1)&lt;&gt;"",INDEX(OHZ_HAZ_MARPOLCODE,249,1)&lt;&gt;"",INDEX(OHZ_HAZ_PACTYPE,249,1)&lt;&gt;"",INDEX(OHZ_HAZ_TOTALPACKA,249,1)&lt;&gt;"",INDEX(OHZ_HAZ_ADDITIONAL,249,1)&lt;&gt;"",INDEX(OHZ_HAZ_EMS,249,1)&lt;&gt;"",INDEX(OHZ_HAZ_SUBSIDIARY,249,1)&lt;&gt;"",INDEX(OHZ_HAZ_UNITTYPE,249,1)&lt;&gt;"",INDEX(OHZ_HAZ_TEUID,249,1)&lt;&gt;"",INDEX(OHZ_HAZ_LOCATION,249,1)&lt;&gt;"",INDEX(OHZ_HAZ_PACKAGES,249,1)&lt;&gt;"",INDEX(OHZ_HAZ_AMOUNT,249,1)&lt;&gt;"",),IF(OR(INDEX(OHZ_HAZ_DGCLASSIFI,249,1)="",INDEX(OHZ_HAZ_TEXTUALREF,249,1)="",INDEX(OHZ_HAZ_TOTAMOUNT,249,1)="",INDEX(OHZ_HAZ_DPGREF,249,1)="",INDEX(OHZ_HAZ_CONSIGNMENT,249,1)="",),FALSE,TRUE),TRUE)</f>
        <v>1</v>
      </c>
      <c r="K256" s="237" t="str">
        <f t="shared" si="8"/>
        <v>Row 249 - All mandatory fields must be given</v>
      </c>
      <c r="L256" s="236" t="s">
        <v>1853</v>
      </c>
      <c r="S256" s="52"/>
    </row>
    <row r="257" spans="6:19">
      <c r="F257" s="236" t="s">
        <v>1853</v>
      </c>
      <c r="G257" s="250" t="b">
        <f>IF(OR(INDEX(IHZ_HAZ_CONSIGNMENT,250,1)&lt;&gt;"",INDEX(IHZ_HAZ_TRANSDOCID,250,1)&lt;&gt;"",INDEX(IHZ_HAZ_PORTOFLOADING,250,1)&lt;&gt;"",INDEX(IHZ_HAZ_PORTOFDISCHARGE,250,1)&lt;&gt;"",INDEX(IHZ_HAZ_DPGREF,250,1)&lt;&gt;"",INDEX(IHZ_HAZ_DGCLASSIFI,250,1)&lt;&gt;"",INDEX(IHZ_HAZ_TEXTUALREF,250,1)&lt;&gt;"",INDEX(IHZ_HAZ_IMOHAZARDC,250,1)&lt;&gt;"",INDEX(IHZ_HAZ_UNNUMBER,250,1)&lt;&gt;"",INDEX(IHZ_HAZ_TOTAMOUNT,250,1)&lt;&gt;"",INDEX(IHZ_HAZ_PACKINGGRO,250,1)&lt;&gt;"",INDEX(IHZ_HAZ_FLASHPOINT,250,1)&lt;&gt;"",INDEX(IHZ_HAZ_MARPOLCODE,250,1)&lt;&gt;"",INDEX(IHZ_HAZ_PACTYPE,250,1)&lt;&gt;"",INDEX(IHZ_HAZ_TOTALPACKA,250,1)&lt;&gt;"",INDEX(IHZ_HAZ_ADDITIONAL,250,1)&lt;&gt;"",INDEX(IHZ_HAZ_EMS,250,1)&lt;&gt;"",INDEX(IHZ_HAZ_SUBSIDIARY,250,1)&lt;&gt;"",INDEX(IHZ_HAZ_UNITTYPE,250,1)&lt;&gt;"",INDEX(IHZ_HAZ_TEUID,250,1)&lt;&gt;"",INDEX(IHZ_HAZ_LOCATION,250,1)&lt;&gt;"",INDEX(IHZ_HAZ_PACKAGES,250,1)&lt;&gt;"",INDEX(IHZ_HAZ_AMOUNT,250,1)&lt;&gt;"",),IF(OR(INDEX(IHZ_HAZ_DGCLASSIFI,250,1)="",INDEX(IHZ_HAZ_TEXTUALREF,250,1)="",INDEX(IHZ_HAZ_TOTAMOUNT,250,1)="",INDEX(IHZ_HAZ_DPGREF,250,1)="",INDEX(IHZ_HAZ_CONSIGNMENT,250,1)="",),FALSE,TRUE),TRUE)</f>
        <v>1</v>
      </c>
      <c r="H257" s="237" t="str">
        <f t="shared" si="7"/>
        <v>Row 250 - All mandatory fields must be given</v>
      </c>
      <c r="J257" s="52" t="b">
        <f>IF(OR(INDEX(OHZ_HAZ_CONSIGNMENT,250,1)&lt;&gt;"",INDEX(OHZ_HAZ_TRANSDOCID,250,1)&lt;&gt;"",INDEX(OHZ_HAZ_PORTOFLOADING,250,1)&lt;&gt;"",INDEX(OHZ_HAZ_PORTOFDISCHARGE,250,1)&lt;&gt;"",INDEX(OHZ_HAZ_DPGREF,250,1)&lt;&gt;"",INDEX(OHZ_HAZ_DGCLASSIFI,250,1)&lt;&gt;"",INDEX(OHZ_HAZ_TEXTUALREF,250,1)&lt;&gt;"",INDEX(OHZ_HAZ_IMOHAZARDC,250,1)&lt;&gt;"",INDEX(OHZ_HAZ_UNNUMBER,250,1)&lt;&gt;"",INDEX(OHZ_HAZ_TOTAMOUNT,250,1)&lt;&gt;"",INDEX(OHZ_HAZ_PACKINGGRO,250,1)&lt;&gt;"",INDEX(OHZ_HAZ_FLASHPOINT,250,1)&lt;&gt;"",INDEX(OHZ_HAZ_MARPOLCODE,250,1)&lt;&gt;"",INDEX(OHZ_HAZ_PACTYPE,250,1)&lt;&gt;"",INDEX(OHZ_HAZ_TOTALPACKA,250,1)&lt;&gt;"",INDEX(OHZ_HAZ_ADDITIONAL,250,1)&lt;&gt;"",INDEX(OHZ_HAZ_EMS,250,1)&lt;&gt;"",INDEX(OHZ_HAZ_SUBSIDIARY,250,1)&lt;&gt;"",INDEX(OHZ_HAZ_UNITTYPE,250,1)&lt;&gt;"",INDEX(OHZ_HAZ_TEUID,250,1)&lt;&gt;"",INDEX(OHZ_HAZ_LOCATION,250,1)&lt;&gt;"",INDEX(OHZ_HAZ_PACKAGES,250,1)&lt;&gt;"",INDEX(OHZ_HAZ_AMOUNT,250,1)&lt;&gt;"",),IF(OR(INDEX(OHZ_HAZ_DGCLASSIFI,250,1)="",INDEX(OHZ_HAZ_TEXTUALREF,250,1)="",INDEX(OHZ_HAZ_TOTAMOUNT,250,1)="",INDEX(OHZ_HAZ_DPGREF,250,1)="",INDEX(OHZ_HAZ_CONSIGNMENT,250,1)="",),FALSE,TRUE),TRUE)</f>
        <v>1</v>
      </c>
      <c r="K257" s="237" t="str">
        <f t="shared" si="8"/>
        <v>Row 250 - All mandatory fields must be given</v>
      </c>
      <c r="L257" s="236" t="s">
        <v>1853</v>
      </c>
      <c r="S257" s="52"/>
    </row>
    <row r="258" spans="6:19">
      <c r="F258" s="236" t="s">
        <v>1853</v>
      </c>
      <c r="G258" s="250" t="b">
        <f>IF(OR(INDEX(IHZ_HAZ_TOTAMOUNT,1,1)&lt;&gt;"",),IF(OR(INDEX(IHZ_HAZ_TOTNETGROSS,1,1)="",INDEX(IHZ_HAZ_TOTUNIT,1,1)="",),FALSE,TRUE),TRUE)</f>
        <v>1</v>
      </c>
      <c r="H258" s="52" t="str">
        <f>T1&amp;$V$2</f>
        <v xml:space="preserve">Row 1 - If ‘Total amount’ is given, then ‘Net / Gross’ and ‘Total amount unit’ are required </v>
      </c>
      <c r="I258" s="236" t="s">
        <v>1853</v>
      </c>
      <c r="J258" s="52" t="b">
        <f>IF(OR(INDEX(OHZ_HAZ_TOTAMOUNT,1,1)&lt;&gt;"",),IF(OR(INDEX(OHZ_HAZ_TOTNETGROSS,1,1)="",INDEX(OHZ_HAZ_TOTUNIT,1,1)="",),FALSE,TRUE),TRUE)</f>
        <v>1</v>
      </c>
      <c r="K258" s="52" t="str">
        <f>T1&amp;$V$2</f>
        <v xml:space="preserve">Row 1 - If ‘Total amount’ is given, then ‘Net / Gross’ and ‘Total amount unit’ are required </v>
      </c>
      <c r="L258" s="236" t="s">
        <v>1853</v>
      </c>
      <c r="S258" s="52"/>
    </row>
    <row r="259" spans="6:19">
      <c r="F259" s="236" t="s">
        <v>1853</v>
      </c>
      <c r="G259" s="250" t="b">
        <f>IF(OR(INDEX(IHZ_HAZ_TOTAMOUNT,2,1)&lt;&gt;"",),IF(OR(INDEX(IHZ_HAZ_TOTNETGROSS,2,1)="",INDEX(IHZ_HAZ_TOTUNIT,2,1)="",),FALSE,TRUE),TRUE)</f>
        <v>1</v>
      </c>
      <c r="H259" s="52" t="str">
        <f t="shared" ref="H259:H322" si="9">T2&amp;$V$2</f>
        <v xml:space="preserve">Row 2 - If ‘Total amount’ is given, then ‘Net / Gross’ and ‘Total amount unit’ are required </v>
      </c>
      <c r="I259" s="236" t="s">
        <v>1853</v>
      </c>
      <c r="J259" s="52" t="b">
        <f>IF(OR(INDEX(OHZ_HAZ_TOTAMOUNT,2,1)&lt;&gt;"",),IF(OR(INDEX(OHZ_HAZ_TOTNETGROSS,2,1)="",INDEX(OHZ_HAZ_TOTUNIT,2,1)="",),FALSE,TRUE),TRUE)</f>
        <v>1</v>
      </c>
      <c r="K259" s="52" t="str">
        <f t="shared" ref="K259:K322" si="10">T2&amp;$V$2</f>
        <v xml:space="preserve">Row 2 - If ‘Total amount’ is given, then ‘Net / Gross’ and ‘Total amount unit’ are required </v>
      </c>
      <c r="L259" s="236" t="s">
        <v>1853</v>
      </c>
      <c r="S259" s="52"/>
    </row>
    <row r="260" spans="6:19">
      <c r="F260" s="236" t="s">
        <v>1853</v>
      </c>
      <c r="G260" s="250" t="b">
        <f>IF(OR(INDEX(IHZ_HAZ_TOTAMOUNT,3,1)&lt;&gt;"",),IF(OR(INDEX(IHZ_HAZ_TOTNETGROSS,3,1)="",INDEX(IHZ_HAZ_TOTUNIT,3,1)="",),FALSE,TRUE),TRUE)</f>
        <v>1</v>
      </c>
      <c r="H260" s="52" t="str">
        <f t="shared" si="9"/>
        <v xml:space="preserve">Row 3 - If ‘Total amount’ is given, then ‘Net / Gross’ and ‘Total amount unit’ are required </v>
      </c>
      <c r="I260" s="236" t="s">
        <v>1853</v>
      </c>
      <c r="J260" s="52" t="b">
        <f>IF(OR(INDEX(OHZ_HAZ_TOTAMOUNT,3,1)&lt;&gt;"",),IF(OR(INDEX(OHZ_HAZ_TOTNETGROSS,3,1)="",INDEX(OHZ_HAZ_TOTUNIT,3,1)="",),FALSE,TRUE),TRUE)</f>
        <v>1</v>
      </c>
      <c r="K260" s="52" t="str">
        <f t="shared" si="10"/>
        <v xml:space="preserve">Row 3 - If ‘Total amount’ is given, then ‘Net / Gross’ and ‘Total amount unit’ are required </v>
      </c>
      <c r="L260" s="236" t="s">
        <v>1853</v>
      </c>
      <c r="S260" s="52"/>
    </row>
    <row r="261" spans="6:19">
      <c r="F261" s="236" t="s">
        <v>1853</v>
      </c>
      <c r="G261" s="250" t="b">
        <f>IF(OR(INDEX(IHZ_HAZ_TOTAMOUNT,4,1)&lt;&gt;"",),IF(OR(INDEX(IHZ_HAZ_TOTNETGROSS,4,1)="",INDEX(IHZ_HAZ_TOTUNIT,4,1)="",),FALSE,TRUE),TRUE)</f>
        <v>1</v>
      </c>
      <c r="H261" s="52" t="str">
        <f t="shared" si="9"/>
        <v xml:space="preserve">Row 4 - If ‘Total amount’ is given, then ‘Net / Gross’ and ‘Total amount unit’ are required </v>
      </c>
      <c r="I261" s="236" t="s">
        <v>1853</v>
      </c>
      <c r="J261" s="52" t="b">
        <f>IF(OR(INDEX(OHZ_HAZ_TOTAMOUNT,4,1)&lt;&gt;"",),IF(OR(INDEX(OHZ_HAZ_TOTNETGROSS,4,1)="",INDEX(OHZ_HAZ_TOTUNIT,4,1)="",),FALSE,TRUE),TRUE)</f>
        <v>1</v>
      </c>
      <c r="K261" s="52" t="str">
        <f t="shared" si="10"/>
        <v xml:space="preserve">Row 4 - If ‘Total amount’ is given, then ‘Net / Gross’ and ‘Total amount unit’ are required </v>
      </c>
      <c r="L261" s="236" t="s">
        <v>1853</v>
      </c>
      <c r="S261" s="52"/>
    </row>
    <row r="262" spans="6:19">
      <c r="F262" s="236" t="s">
        <v>1853</v>
      </c>
      <c r="G262" s="250" t="b">
        <f>IF(OR(INDEX(IHZ_HAZ_TOTAMOUNT,5,1)&lt;&gt;"",),IF(OR(INDEX(IHZ_HAZ_TOTNETGROSS,5,1)="",INDEX(IHZ_HAZ_TOTUNIT,5,1)="",),FALSE,TRUE),TRUE)</f>
        <v>1</v>
      </c>
      <c r="H262" s="52" t="str">
        <f t="shared" si="9"/>
        <v xml:space="preserve">Row 5 - If ‘Total amount’ is given, then ‘Net / Gross’ and ‘Total amount unit’ are required </v>
      </c>
      <c r="I262" s="236" t="s">
        <v>1853</v>
      </c>
      <c r="J262" s="52" t="b">
        <f>IF(OR(INDEX(OHZ_HAZ_TOTAMOUNT,5,1)&lt;&gt;"",),IF(OR(INDEX(OHZ_HAZ_TOTNETGROSS,5,1)="",INDEX(OHZ_HAZ_TOTUNIT,5,1)="",),FALSE,TRUE),TRUE)</f>
        <v>1</v>
      </c>
      <c r="K262" s="52" t="str">
        <f t="shared" si="10"/>
        <v xml:space="preserve">Row 5 - If ‘Total amount’ is given, then ‘Net / Gross’ and ‘Total amount unit’ are required </v>
      </c>
      <c r="L262" s="236" t="s">
        <v>1853</v>
      </c>
      <c r="S262" s="52"/>
    </row>
    <row r="263" spans="6:19">
      <c r="F263" s="236" t="s">
        <v>1853</v>
      </c>
      <c r="G263" s="250" t="b">
        <f>IF(OR(INDEX(IHZ_HAZ_TOTAMOUNT,6,1)&lt;&gt;"",),IF(OR(INDEX(IHZ_HAZ_TOTNETGROSS,6,1)="",INDEX(IHZ_HAZ_TOTUNIT,6,1)="",),FALSE,TRUE),TRUE)</f>
        <v>1</v>
      </c>
      <c r="H263" s="52" t="str">
        <f t="shared" si="9"/>
        <v xml:space="preserve">Row 6 - If ‘Total amount’ is given, then ‘Net / Gross’ and ‘Total amount unit’ are required </v>
      </c>
      <c r="I263" s="236" t="s">
        <v>1853</v>
      </c>
      <c r="J263" s="52" t="b">
        <f>IF(OR(INDEX(OHZ_HAZ_TOTAMOUNT,6,1)&lt;&gt;"",),IF(OR(INDEX(OHZ_HAZ_TOTNETGROSS,6,1)="",INDEX(OHZ_HAZ_TOTUNIT,6,1)="",),FALSE,TRUE),TRUE)</f>
        <v>1</v>
      </c>
      <c r="K263" s="52" t="str">
        <f t="shared" si="10"/>
        <v xml:space="preserve">Row 6 - If ‘Total amount’ is given, then ‘Net / Gross’ and ‘Total amount unit’ are required </v>
      </c>
      <c r="L263" s="236" t="s">
        <v>1853</v>
      </c>
      <c r="S263" s="52"/>
    </row>
    <row r="264" spans="6:19">
      <c r="F264" s="236" t="s">
        <v>1853</v>
      </c>
      <c r="G264" s="250" t="b">
        <f>IF(OR(INDEX(IHZ_HAZ_TOTAMOUNT,7,1)&lt;&gt;"",),IF(OR(INDEX(IHZ_HAZ_TOTNETGROSS,7,1)="",INDEX(IHZ_HAZ_TOTUNIT,7,1)="",),FALSE,TRUE),TRUE)</f>
        <v>1</v>
      </c>
      <c r="H264" s="52" t="str">
        <f t="shared" si="9"/>
        <v xml:space="preserve">Row 7 - If ‘Total amount’ is given, then ‘Net / Gross’ and ‘Total amount unit’ are required </v>
      </c>
      <c r="I264" s="236" t="s">
        <v>1853</v>
      </c>
      <c r="J264" s="52" t="b">
        <f>IF(OR(INDEX(OHZ_HAZ_TOTAMOUNT,7,1)&lt;&gt;"",),IF(OR(INDEX(OHZ_HAZ_TOTNETGROSS,7,1)="",INDEX(OHZ_HAZ_TOTUNIT,7,1)="",),FALSE,TRUE),TRUE)</f>
        <v>1</v>
      </c>
      <c r="K264" s="52" t="str">
        <f t="shared" si="10"/>
        <v xml:space="preserve">Row 7 - If ‘Total amount’ is given, then ‘Net / Gross’ and ‘Total amount unit’ are required </v>
      </c>
      <c r="L264" s="236" t="s">
        <v>1853</v>
      </c>
      <c r="S264" s="52"/>
    </row>
    <row r="265" spans="6:19">
      <c r="F265" s="236" t="s">
        <v>1853</v>
      </c>
      <c r="G265" s="250" t="b">
        <f>IF(OR(INDEX(IHZ_HAZ_TOTAMOUNT,8,1)&lt;&gt;"",),IF(OR(INDEX(IHZ_HAZ_TOTNETGROSS,8,1)="",INDEX(IHZ_HAZ_TOTUNIT,8,1)="",),FALSE,TRUE),TRUE)</f>
        <v>1</v>
      </c>
      <c r="H265" s="52" t="str">
        <f t="shared" si="9"/>
        <v xml:space="preserve">Row 8 - If ‘Total amount’ is given, then ‘Net / Gross’ and ‘Total amount unit’ are required </v>
      </c>
      <c r="I265" s="236" t="s">
        <v>1853</v>
      </c>
      <c r="J265" s="52" t="b">
        <f>IF(OR(INDEX(OHZ_HAZ_TOTAMOUNT,8,1)&lt;&gt;"",),IF(OR(INDEX(OHZ_HAZ_TOTNETGROSS,8,1)="",INDEX(OHZ_HAZ_TOTUNIT,8,1)="",),FALSE,TRUE),TRUE)</f>
        <v>1</v>
      </c>
      <c r="K265" s="52" t="str">
        <f t="shared" si="10"/>
        <v xml:space="preserve">Row 8 - If ‘Total amount’ is given, then ‘Net / Gross’ and ‘Total amount unit’ are required </v>
      </c>
      <c r="L265" s="236" t="s">
        <v>1853</v>
      </c>
      <c r="S265" s="52"/>
    </row>
    <row r="266" spans="6:19">
      <c r="F266" s="236" t="s">
        <v>1853</v>
      </c>
      <c r="G266" s="250" t="b">
        <f>IF(OR(INDEX(IHZ_HAZ_TOTAMOUNT,9,1)&lt;&gt;"",),IF(OR(INDEX(IHZ_HAZ_TOTNETGROSS,9,1)="",INDEX(IHZ_HAZ_TOTUNIT,9,1)="",),FALSE,TRUE),TRUE)</f>
        <v>1</v>
      </c>
      <c r="H266" s="52" t="str">
        <f t="shared" si="9"/>
        <v xml:space="preserve">Row 9 - If ‘Total amount’ is given, then ‘Net / Gross’ and ‘Total amount unit’ are required </v>
      </c>
      <c r="I266" s="236" t="s">
        <v>1853</v>
      </c>
      <c r="J266" s="52" t="b">
        <f>IF(OR(INDEX(OHZ_HAZ_TOTAMOUNT,9,1)&lt;&gt;"",),IF(OR(INDEX(OHZ_HAZ_TOTNETGROSS,9,1)="",INDEX(OHZ_HAZ_TOTUNIT,9,1)="",),FALSE,TRUE),TRUE)</f>
        <v>1</v>
      </c>
      <c r="K266" s="52" t="str">
        <f t="shared" si="10"/>
        <v xml:space="preserve">Row 9 - If ‘Total amount’ is given, then ‘Net / Gross’ and ‘Total amount unit’ are required </v>
      </c>
      <c r="L266" s="236" t="s">
        <v>1853</v>
      </c>
      <c r="S266" s="52"/>
    </row>
    <row r="267" spans="6:19">
      <c r="F267" s="236" t="s">
        <v>1853</v>
      </c>
      <c r="G267" s="250" t="b">
        <f>IF(OR(INDEX(IHZ_HAZ_TOTAMOUNT,10,1)&lt;&gt;"",),IF(OR(INDEX(IHZ_HAZ_TOTNETGROSS,10,1)="",INDEX(IHZ_HAZ_TOTUNIT,10,1)="",),FALSE,TRUE),TRUE)</f>
        <v>1</v>
      </c>
      <c r="H267" s="52" t="str">
        <f t="shared" si="9"/>
        <v xml:space="preserve">Row 10 - If ‘Total amount’ is given, then ‘Net / Gross’ and ‘Total amount unit’ are required </v>
      </c>
      <c r="I267" s="236" t="s">
        <v>1853</v>
      </c>
      <c r="J267" s="52" t="b">
        <f>IF(OR(INDEX(OHZ_HAZ_TOTAMOUNT,10,1)&lt;&gt;"",),IF(OR(INDEX(OHZ_HAZ_TOTNETGROSS,10,1)="",INDEX(OHZ_HAZ_TOTUNIT,10,1)="",),FALSE,TRUE),TRUE)</f>
        <v>1</v>
      </c>
      <c r="K267" s="52" t="str">
        <f t="shared" si="10"/>
        <v xml:space="preserve">Row 10 - If ‘Total amount’ is given, then ‘Net / Gross’ and ‘Total amount unit’ are required </v>
      </c>
      <c r="L267" s="236" t="s">
        <v>1853</v>
      </c>
      <c r="S267" s="52"/>
    </row>
    <row r="268" spans="6:19">
      <c r="F268" s="236" t="s">
        <v>1853</v>
      </c>
      <c r="G268" s="250" t="b">
        <f>IF(OR(INDEX(IHZ_HAZ_TOTAMOUNT,11,1)&lt;&gt;"",),IF(OR(INDEX(IHZ_HAZ_TOTNETGROSS,11,1)="",INDEX(IHZ_HAZ_TOTUNIT,11,1)="",),FALSE,TRUE),TRUE)</f>
        <v>1</v>
      </c>
      <c r="H268" s="52" t="str">
        <f t="shared" si="9"/>
        <v xml:space="preserve">Row 11 - If ‘Total amount’ is given, then ‘Net / Gross’ and ‘Total amount unit’ are required </v>
      </c>
      <c r="I268" s="236" t="s">
        <v>1853</v>
      </c>
      <c r="J268" s="52" t="b">
        <f>IF(OR(INDEX(OHZ_HAZ_TOTAMOUNT,11,1)&lt;&gt;"",),IF(OR(INDEX(OHZ_HAZ_TOTNETGROSS,11,1)="",INDEX(OHZ_HAZ_TOTUNIT,11,1)="",),FALSE,TRUE),TRUE)</f>
        <v>1</v>
      </c>
      <c r="K268" s="52" t="str">
        <f t="shared" si="10"/>
        <v xml:space="preserve">Row 11 - If ‘Total amount’ is given, then ‘Net / Gross’ and ‘Total amount unit’ are required </v>
      </c>
      <c r="L268" s="236" t="s">
        <v>1853</v>
      </c>
      <c r="S268" s="52"/>
    </row>
    <row r="269" spans="6:19">
      <c r="F269" s="236" t="s">
        <v>1853</v>
      </c>
      <c r="G269" s="250" t="b">
        <f>IF(OR(INDEX(IHZ_HAZ_TOTAMOUNT,12,1)&lt;&gt;"",),IF(OR(INDEX(IHZ_HAZ_TOTNETGROSS,12,1)="",INDEX(IHZ_HAZ_TOTUNIT,12,1)="",),FALSE,TRUE),TRUE)</f>
        <v>1</v>
      </c>
      <c r="H269" s="52" t="str">
        <f t="shared" si="9"/>
        <v xml:space="preserve">Row 12 - If ‘Total amount’ is given, then ‘Net / Gross’ and ‘Total amount unit’ are required </v>
      </c>
      <c r="I269" s="236" t="s">
        <v>1853</v>
      </c>
      <c r="J269" s="52" t="b">
        <f>IF(OR(INDEX(OHZ_HAZ_TOTAMOUNT,12,1)&lt;&gt;"",),IF(OR(INDEX(OHZ_HAZ_TOTNETGROSS,12,1)="",INDEX(OHZ_HAZ_TOTUNIT,12,1)="",),FALSE,TRUE),TRUE)</f>
        <v>1</v>
      </c>
      <c r="K269" s="52" t="str">
        <f t="shared" si="10"/>
        <v xml:space="preserve">Row 12 - If ‘Total amount’ is given, then ‘Net / Gross’ and ‘Total amount unit’ are required </v>
      </c>
      <c r="L269" s="236" t="s">
        <v>1853</v>
      </c>
      <c r="S269" s="52"/>
    </row>
    <row r="270" spans="6:19">
      <c r="F270" s="236" t="s">
        <v>1853</v>
      </c>
      <c r="G270" s="250" t="b">
        <f>IF(OR(INDEX(IHZ_HAZ_TOTAMOUNT,13,1)&lt;&gt;"",),IF(OR(INDEX(IHZ_HAZ_TOTNETGROSS,13,1)="",INDEX(IHZ_HAZ_TOTUNIT,13,1)="",),FALSE,TRUE),TRUE)</f>
        <v>1</v>
      </c>
      <c r="H270" s="52" t="str">
        <f t="shared" si="9"/>
        <v xml:space="preserve">Row 13 - If ‘Total amount’ is given, then ‘Net / Gross’ and ‘Total amount unit’ are required </v>
      </c>
      <c r="I270" s="236" t="s">
        <v>1853</v>
      </c>
      <c r="J270" s="52" t="b">
        <f>IF(OR(INDEX(OHZ_HAZ_TOTAMOUNT,13,1)&lt;&gt;"",),IF(OR(INDEX(OHZ_HAZ_TOTNETGROSS,13,1)="",INDEX(OHZ_HAZ_TOTUNIT,13,1)="",),FALSE,TRUE),TRUE)</f>
        <v>1</v>
      </c>
      <c r="K270" s="52" t="str">
        <f t="shared" si="10"/>
        <v xml:space="preserve">Row 13 - If ‘Total amount’ is given, then ‘Net / Gross’ and ‘Total amount unit’ are required </v>
      </c>
      <c r="L270" s="236" t="s">
        <v>1853</v>
      </c>
      <c r="S270" s="52"/>
    </row>
    <row r="271" spans="6:19">
      <c r="F271" s="236" t="s">
        <v>1853</v>
      </c>
      <c r="G271" s="250" t="b">
        <f>IF(OR(INDEX(IHZ_HAZ_TOTAMOUNT,14,1)&lt;&gt;"",),IF(OR(INDEX(IHZ_HAZ_TOTNETGROSS,14,1)="",INDEX(IHZ_HAZ_TOTUNIT,14,1)="",),FALSE,TRUE),TRUE)</f>
        <v>1</v>
      </c>
      <c r="H271" s="52" t="str">
        <f t="shared" si="9"/>
        <v xml:space="preserve">Row 14 - If ‘Total amount’ is given, then ‘Net / Gross’ and ‘Total amount unit’ are required </v>
      </c>
      <c r="I271" s="236" t="s">
        <v>1853</v>
      </c>
      <c r="J271" s="52" t="b">
        <f>IF(OR(INDEX(OHZ_HAZ_TOTAMOUNT,14,1)&lt;&gt;"",),IF(OR(INDEX(OHZ_HAZ_TOTNETGROSS,14,1)="",INDEX(OHZ_HAZ_TOTUNIT,14,1)="",),FALSE,TRUE),TRUE)</f>
        <v>1</v>
      </c>
      <c r="K271" s="52" t="str">
        <f t="shared" si="10"/>
        <v xml:space="preserve">Row 14 - If ‘Total amount’ is given, then ‘Net / Gross’ and ‘Total amount unit’ are required </v>
      </c>
      <c r="L271" s="236" t="s">
        <v>1853</v>
      </c>
      <c r="S271" s="52"/>
    </row>
    <row r="272" spans="6:19">
      <c r="F272" s="236" t="s">
        <v>1853</v>
      </c>
      <c r="G272" s="250" t="b">
        <f>IF(OR(INDEX(IHZ_HAZ_TOTAMOUNT,15,1)&lt;&gt;"",),IF(OR(INDEX(IHZ_HAZ_TOTNETGROSS,15,1)="",INDEX(IHZ_HAZ_TOTUNIT,15,1)="",),FALSE,TRUE),TRUE)</f>
        <v>1</v>
      </c>
      <c r="H272" s="52" t="str">
        <f t="shared" si="9"/>
        <v xml:space="preserve">Row 15 - If ‘Total amount’ is given, then ‘Net / Gross’ and ‘Total amount unit’ are required </v>
      </c>
      <c r="I272" s="236" t="s">
        <v>1853</v>
      </c>
      <c r="J272" s="52" t="b">
        <f>IF(OR(INDEX(OHZ_HAZ_TOTAMOUNT,15,1)&lt;&gt;"",),IF(OR(INDEX(OHZ_HAZ_TOTNETGROSS,15,1)="",INDEX(OHZ_HAZ_TOTUNIT,15,1)="",),FALSE,TRUE),TRUE)</f>
        <v>1</v>
      </c>
      <c r="K272" s="52" t="str">
        <f t="shared" si="10"/>
        <v xml:space="preserve">Row 15 - If ‘Total amount’ is given, then ‘Net / Gross’ and ‘Total amount unit’ are required </v>
      </c>
      <c r="L272" s="236" t="s">
        <v>1853</v>
      </c>
      <c r="S272" s="52"/>
    </row>
    <row r="273" spans="6:19">
      <c r="F273" s="236" t="s">
        <v>1853</v>
      </c>
      <c r="G273" s="250" t="b">
        <f>IF(OR(INDEX(IHZ_HAZ_TOTAMOUNT,16,1)&lt;&gt;"",),IF(OR(INDEX(IHZ_HAZ_TOTNETGROSS,16,1)="",INDEX(IHZ_HAZ_TOTUNIT,16,1)="",),FALSE,TRUE),TRUE)</f>
        <v>1</v>
      </c>
      <c r="H273" s="52" t="str">
        <f t="shared" si="9"/>
        <v xml:space="preserve">Row 16 - If ‘Total amount’ is given, then ‘Net / Gross’ and ‘Total amount unit’ are required </v>
      </c>
      <c r="I273" s="236" t="s">
        <v>1853</v>
      </c>
      <c r="J273" s="52" t="b">
        <f>IF(OR(INDEX(OHZ_HAZ_TOTAMOUNT,16,1)&lt;&gt;"",),IF(OR(INDEX(OHZ_HAZ_TOTNETGROSS,16,1)="",INDEX(OHZ_HAZ_TOTUNIT,16,1)="",),FALSE,TRUE),TRUE)</f>
        <v>1</v>
      </c>
      <c r="K273" s="52" t="str">
        <f t="shared" si="10"/>
        <v xml:space="preserve">Row 16 - If ‘Total amount’ is given, then ‘Net / Gross’ and ‘Total amount unit’ are required </v>
      </c>
      <c r="L273" s="236" t="s">
        <v>1853</v>
      </c>
      <c r="S273" s="52"/>
    </row>
    <row r="274" spans="6:19">
      <c r="F274" s="236" t="s">
        <v>1853</v>
      </c>
      <c r="G274" s="250" t="b">
        <f>IF(OR(INDEX(IHZ_HAZ_TOTAMOUNT,17,1)&lt;&gt;"",),IF(OR(INDEX(IHZ_HAZ_TOTNETGROSS,17,1)="",INDEX(IHZ_HAZ_TOTUNIT,17,1)="",),FALSE,TRUE),TRUE)</f>
        <v>1</v>
      </c>
      <c r="H274" s="52" t="str">
        <f t="shared" si="9"/>
        <v xml:space="preserve">Row 17 - If ‘Total amount’ is given, then ‘Net / Gross’ and ‘Total amount unit’ are required </v>
      </c>
      <c r="I274" s="236" t="s">
        <v>1853</v>
      </c>
      <c r="J274" s="52" t="b">
        <f>IF(OR(INDEX(OHZ_HAZ_TOTAMOUNT,17,1)&lt;&gt;"",),IF(OR(INDEX(OHZ_HAZ_TOTNETGROSS,17,1)="",INDEX(OHZ_HAZ_TOTUNIT,17,1)="",),FALSE,TRUE),TRUE)</f>
        <v>1</v>
      </c>
      <c r="K274" s="52" t="str">
        <f t="shared" si="10"/>
        <v xml:space="preserve">Row 17 - If ‘Total amount’ is given, then ‘Net / Gross’ and ‘Total amount unit’ are required </v>
      </c>
      <c r="L274" s="236" t="s">
        <v>1853</v>
      </c>
      <c r="S274" s="52"/>
    </row>
    <row r="275" spans="6:19">
      <c r="F275" s="236" t="s">
        <v>1853</v>
      </c>
      <c r="G275" s="250" t="b">
        <f>IF(OR(INDEX(IHZ_HAZ_TOTAMOUNT,18,1)&lt;&gt;"",),IF(OR(INDEX(IHZ_HAZ_TOTNETGROSS,18,1)="",INDEX(IHZ_HAZ_TOTUNIT,18,1)="",),FALSE,TRUE),TRUE)</f>
        <v>1</v>
      </c>
      <c r="H275" s="52" t="str">
        <f t="shared" si="9"/>
        <v xml:space="preserve">Row 18 - If ‘Total amount’ is given, then ‘Net / Gross’ and ‘Total amount unit’ are required </v>
      </c>
      <c r="I275" s="236" t="s">
        <v>1853</v>
      </c>
      <c r="J275" s="52" t="b">
        <f>IF(OR(INDEX(OHZ_HAZ_TOTAMOUNT,18,1)&lt;&gt;"",),IF(OR(INDEX(OHZ_HAZ_TOTNETGROSS,18,1)="",INDEX(OHZ_HAZ_TOTUNIT,18,1)="",),FALSE,TRUE),TRUE)</f>
        <v>1</v>
      </c>
      <c r="K275" s="52" t="str">
        <f t="shared" si="10"/>
        <v xml:space="preserve">Row 18 - If ‘Total amount’ is given, then ‘Net / Gross’ and ‘Total amount unit’ are required </v>
      </c>
      <c r="L275" s="236" t="s">
        <v>1853</v>
      </c>
      <c r="S275" s="52"/>
    </row>
    <row r="276" spans="6:19">
      <c r="F276" s="236" t="s">
        <v>1853</v>
      </c>
      <c r="G276" s="250" t="b">
        <f>IF(OR(INDEX(IHZ_HAZ_TOTAMOUNT,19,1)&lt;&gt;"",),IF(OR(INDEX(IHZ_HAZ_TOTNETGROSS,19,1)="",INDEX(IHZ_HAZ_TOTUNIT,19,1)="",),FALSE,TRUE),TRUE)</f>
        <v>1</v>
      </c>
      <c r="H276" s="52" t="str">
        <f t="shared" si="9"/>
        <v xml:space="preserve">Row 19 - If ‘Total amount’ is given, then ‘Net / Gross’ and ‘Total amount unit’ are required </v>
      </c>
      <c r="I276" s="236" t="s">
        <v>1853</v>
      </c>
      <c r="J276" s="52" t="b">
        <f>IF(OR(INDEX(OHZ_HAZ_TOTAMOUNT,19,1)&lt;&gt;"",),IF(OR(INDEX(OHZ_HAZ_TOTNETGROSS,19,1)="",INDEX(OHZ_HAZ_TOTUNIT,19,1)="",),FALSE,TRUE),TRUE)</f>
        <v>1</v>
      </c>
      <c r="K276" s="52" t="str">
        <f t="shared" si="10"/>
        <v xml:space="preserve">Row 19 - If ‘Total amount’ is given, then ‘Net / Gross’ and ‘Total amount unit’ are required </v>
      </c>
      <c r="L276" s="236" t="s">
        <v>1853</v>
      </c>
      <c r="S276" s="52"/>
    </row>
    <row r="277" spans="6:19">
      <c r="F277" s="236" t="s">
        <v>1853</v>
      </c>
      <c r="G277" s="250" t="b">
        <f>IF(OR(INDEX(IHZ_HAZ_TOTAMOUNT,20,1)&lt;&gt;"",),IF(OR(INDEX(IHZ_HAZ_TOTNETGROSS,20,1)="",INDEX(IHZ_HAZ_TOTUNIT,20,1)="",),FALSE,TRUE),TRUE)</f>
        <v>1</v>
      </c>
      <c r="H277" s="52" t="str">
        <f t="shared" si="9"/>
        <v xml:space="preserve">Row 20 - If ‘Total amount’ is given, then ‘Net / Gross’ and ‘Total amount unit’ are required </v>
      </c>
      <c r="I277" s="236" t="s">
        <v>1853</v>
      </c>
      <c r="J277" s="52" t="b">
        <f>IF(OR(INDEX(OHZ_HAZ_TOTAMOUNT,20,1)&lt;&gt;"",),IF(OR(INDEX(OHZ_HAZ_TOTNETGROSS,20,1)="",INDEX(OHZ_HAZ_TOTUNIT,20,1)="",),FALSE,TRUE),TRUE)</f>
        <v>1</v>
      </c>
      <c r="K277" s="52" t="str">
        <f t="shared" si="10"/>
        <v xml:space="preserve">Row 20 - If ‘Total amount’ is given, then ‘Net / Gross’ and ‘Total amount unit’ are required </v>
      </c>
      <c r="L277" s="236" t="s">
        <v>1853</v>
      </c>
      <c r="S277" s="52"/>
    </row>
    <row r="278" spans="6:19">
      <c r="F278" s="236" t="s">
        <v>1853</v>
      </c>
      <c r="G278" s="250" t="b">
        <f>IF(OR(INDEX(IHZ_HAZ_TOTAMOUNT,21,1)&lt;&gt;"",),IF(OR(INDEX(IHZ_HAZ_TOTNETGROSS,21,1)="",INDEX(IHZ_HAZ_TOTUNIT,21,1)="",),FALSE,TRUE),TRUE)</f>
        <v>1</v>
      </c>
      <c r="H278" s="52" t="str">
        <f t="shared" si="9"/>
        <v xml:space="preserve">Row 21 - If ‘Total amount’ is given, then ‘Net / Gross’ and ‘Total amount unit’ are required </v>
      </c>
      <c r="I278" s="236" t="s">
        <v>1853</v>
      </c>
      <c r="J278" s="52" t="b">
        <f>IF(OR(INDEX(OHZ_HAZ_TOTAMOUNT,21,1)&lt;&gt;"",),IF(OR(INDEX(OHZ_HAZ_TOTNETGROSS,21,1)="",INDEX(OHZ_HAZ_TOTUNIT,21,1)="",),FALSE,TRUE),TRUE)</f>
        <v>1</v>
      </c>
      <c r="K278" s="52" t="str">
        <f t="shared" si="10"/>
        <v xml:space="preserve">Row 21 - If ‘Total amount’ is given, then ‘Net / Gross’ and ‘Total amount unit’ are required </v>
      </c>
      <c r="L278" s="236" t="s">
        <v>1853</v>
      </c>
      <c r="S278" s="52"/>
    </row>
    <row r="279" spans="6:19">
      <c r="F279" s="236" t="s">
        <v>1853</v>
      </c>
      <c r="G279" s="250" t="b">
        <f>IF(OR(INDEX(IHZ_HAZ_TOTAMOUNT,22,1)&lt;&gt;"",),IF(OR(INDEX(IHZ_HAZ_TOTNETGROSS,22,1)="",INDEX(IHZ_HAZ_TOTUNIT,22,1)="",),FALSE,TRUE),TRUE)</f>
        <v>1</v>
      </c>
      <c r="H279" s="52" t="str">
        <f t="shared" si="9"/>
        <v xml:space="preserve">Row 22 - If ‘Total amount’ is given, then ‘Net / Gross’ and ‘Total amount unit’ are required </v>
      </c>
      <c r="I279" s="236" t="s">
        <v>1853</v>
      </c>
      <c r="J279" s="52" t="b">
        <f>IF(OR(INDEX(OHZ_HAZ_TOTAMOUNT,22,1)&lt;&gt;"",),IF(OR(INDEX(OHZ_HAZ_TOTNETGROSS,22,1)="",INDEX(OHZ_HAZ_TOTUNIT,22,1)="",),FALSE,TRUE),TRUE)</f>
        <v>1</v>
      </c>
      <c r="K279" s="52" t="str">
        <f t="shared" si="10"/>
        <v xml:space="preserve">Row 22 - If ‘Total amount’ is given, then ‘Net / Gross’ and ‘Total amount unit’ are required </v>
      </c>
      <c r="L279" s="236" t="s">
        <v>1853</v>
      </c>
      <c r="S279" s="52"/>
    </row>
    <row r="280" spans="6:19">
      <c r="F280" s="236" t="s">
        <v>1853</v>
      </c>
      <c r="G280" s="250" t="b">
        <f>IF(OR(INDEX(IHZ_HAZ_TOTAMOUNT,23,1)&lt;&gt;"",),IF(OR(INDEX(IHZ_HAZ_TOTNETGROSS,23,1)="",INDEX(IHZ_HAZ_TOTUNIT,23,1)="",),FALSE,TRUE),TRUE)</f>
        <v>1</v>
      </c>
      <c r="H280" s="52" t="str">
        <f t="shared" si="9"/>
        <v xml:space="preserve">Row 23 - If ‘Total amount’ is given, then ‘Net / Gross’ and ‘Total amount unit’ are required </v>
      </c>
      <c r="I280" s="236" t="s">
        <v>1853</v>
      </c>
      <c r="J280" s="52" t="b">
        <f>IF(OR(INDEX(OHZ_HAZ_TOTAMOUNT,23,1)&lt;&gt;"",),IF(OR(INDEX(OHZ_HAZ_TOTNETGROSS,23,1)="",INDEX(OHZ_HAZ_TOTUNIT,23,1)="",),FALSE,TRUE),TRUE)</f>
        <v>1</v>
      </c>
      <c r="K280" s="52" t="str">
        <f t="shared" si="10"/>
        <v xml:space="preserve">Row 23 - If ‘Total amount’ is given, then ‘Net / Gross’ and ‘Total amount unit’ are required </v>
      </c>
      <c r="L280" s="236" t="s">
        <v>1853</v>
      </c>
      <c r="S280" s="52"/>
    </row>
    <row r="281" spans="6:19">
      <c r="F281" s="236" t="s">
        <v>1853</v>
      </c>
      <c r="G281" s="250" t="b">
        <f>IF(OR(INDEX(IHZ_HAZ_TOTAMOUNT,24,1)&lt;&gt;"",),IF(OR(INDEX(IHZ_HAZ_TOTNETGROSS,24,1)="",INDEX(IHZ_HAZ_TOTUNIT,24,1)="",),FALSE,TRUE),TRUE)</f>
        <v>1</v>
      </c>
      <c r="H281" s="52" t="str">
        <f t="shared" si="9"/>
        <v xml:space="preserve">Row 24 - If ‘Total amount’ is given, then ‘Net / Gross’ and ‘Total amount unit’ are required </v>
      </c>
      <c r="I281" s="236" t="s">
        <v>1853</v>
      </c>
      <c r="J281" s="52" t="b">
        <f>IF(OR(INDEX(OHZ_HAZ_TOTAMOUNT,24,1)&lt;&gt;"",),IF(OR(INDEX(OHZ_HAZ_TOTNETGROSS,24,1)="",INDEX(OHZ_HAZ_TOTUNIT,24,1)="",),FALSE,TRUE),TRUE)</f>
        <v>1</v>
      </c>
      <c r="K281" s="52" t="str">
        <f t="shared" si="10"/>
        <v xml:space="preserve">Row 24 - If ‘Total amount’ is given, then ‘Net / Gross’ and ‘Total amount unit’ are required </v>
      </c>
      <c r="L281" s="236" t="s">
        <v>1853</v>
      </c>
      <c r="S281" s="52"/>
    </row>
    <row r="282" spans="6:19">
      <c r="F282" s="236" t="s">
        <v>1853</v>
      </c>
      <c r="G282" s="250" t="b">
        <f>IF(OR(INDEX(IHZ_HAZ_TOTAMOUNT,25,1)&lt;&gt;"",),IF(OR(INDEX(IHZ_HAZ_TOTNETGROSS,25,1)="",INDEX(IHZ_HAZ_TOTUNIT,25,1)="",),FALSE,TRUE),TRUE)</f>
        <v>1</v>
      </c>
      <c r="H282" s="52" t="str">
        <f t="shared" si="9"/>
        <v xml:space="preserve">Row 25 - If ‘Total amount’ is given, then ‘Net / Gross’ and ‘Total amount unit’ are required </v>
      </c>
      <c r="I282" s="236" t="s">
        <v>1853</v>
      </c>
      <c r="J282" s="52" t="b">
        <f>IF(OR(INDEX(OHZ_HAZ_TOTAMOUNT,25,1)&lt;&gt;"",),IF(OR(INDEX(OHZ_HAZ_TOTNETGROSS,25,1)="",INDEX(OHZ_HAZ_TOTUNIT,25,1)="",),FALSE,TRUE),TRUE)</f>
        <v>1</v>
      </c>
      <c r="K282" s="52" t="str">
        <f t="shared" si="10"/>
        <v xml:space="preserve">Row 25 - If ‘Total amount’ is given, then ‘Net / Gross’ and ‘Total amount unit’ are required </v>
      </c>
      <c r="L282" s="236" t="s">
        <v>1853</v>
      </c>
    </row>
    <row r="283" spans="6:19">
      <c r="F283" s="236" t="s">
        <v>1853</v>
      </c>
      <c r="G283" s="250" t="b">
        <f>IF(OR(INDEX(IHZ_HAZ_TOTAMOUNT,26,1)&lt;&gt;"",),IF(OR(INDEX(IHZ_HAZ_TOTNETGROSS,26,1)="",INDEX(IHZ_HAZ_TOTUNIT,26,1)="",),FALSE,TRUE),TRUE)</f>
        <v>1</v>
      </c>
      <c r="H283" s="52" t="str">
        <f t="shared" si="9"/>
        <v xml:space="preserve">Row 26 - If ‘Total amount’ is given, then ‘Net / Gross’ and ‘Total amount unit’ are required </v>
      </c>
      <c r="I283" s="236" t="s">
        <v>1853</v>
      </c>
      <c r="J283" s="52" t="b">
        <f>IF(OR(INDEX(OHZ_HAZ_TOTAMOUNT,26,1)&lt;&gt;"",),IF(OR(INDEX(OHZ_HAZ_TOTNETGROSS,26,1)="",INDEX(OHZ_HAZ_TOTUNIT,26,1)="",),FALSE,TRUE),TRUE)</f>
        <v>1</v>
      </c>
      <c r="K283" s="52" t="str">
        <f t="shared" si="10"/>
        <v xml:space="preserve">Row 26 - If ‘Total amount’ is given, then ‘Net / Gross’ and ‘Total amount unit’ are required </v>
      </c>
      <c r="L283" s="236" t="s">
        <v>1853</v>
      </c>
    </row>
    <row r="284" spans="6:19">
      <c r="F284" s="236" t="s">
        <v>1853</v>
      </c>
      <c r="G284" s="250" t="b">
        <f>IF(OR(INDEX(IHZ_HAZ_TOTAMOUNT,27,1)&lt;&gt;"",),IF(OR(INDEX(IHZ_HAZ_TOTNETGROSS,27,1)="",INDEX(IHZ_HAZ_TOTUNIT,27,1)="",),FALSE,TRUE),TRUE)</f>
        <v>1</v>
      </c>
      <c r="H284" s="52" t="str">
        <f t="shared" si="9"/>
        <v xml:space="preserve">Row 27 - If ‘Total amount’ is given, then ‘Net / Gross’ and ‘Total amount unit’ are required </v>
      </c>
      <c r="I284" s="236" t="s">
        <v>1853</v>
      </c>
      <c r="J284" s="52" t="b">
        <f>IF(OR(INDEX(OHZ_HAZ_TOTAMOUNT,27,1)&lt;&gt;"",),IF(OR(INDEX(OHZ_HAZ_TOTNETGROSS,27,1)="",INDEX(OHZ_HAZ_TOTUNIT,27,1)="",),FALSE,TRUE),TRUE)</f>
        <v>1</v>
      </c>
      <c r="K284" s="52" t="str">
        <f t="shared" si="10"/>
        <v xml:space="preserve">Row 27 - If ‘Total amount’ is given, then ‘Net / Gross’ and ‘Total amount unit’ are required </v>
      </c>
      <c r="L284" s="236" t="s">
        <v>1853</v>
      </c>
    </row>
    <row r="285" spans="6:19">
      <c r="F285" s="236" t="s">
        <v>1853</v>
      </c>
      <c r="G285" s="250" t="b">
        <f>IF(OR(INDEX(IHZ_HAZ_TOTAMOUNT,28,1)&lt;&gt;"",),IF(OR(INDEX(IHZ_HAZ_TOTNETGROSS,28,1)="",INDEX(IHZ_HAZ_TOTUNIT,28,1)="",),FALSE,TRUE),TRUE)</f>
        <v>1</v>
      </c>
      <c r="H285" s="52" t="str">
        <f t="shared" si="9"/>
        <v xml:space="preserve">Row 28 - If ‘Total amount’ is given, then ‘Net / Gross’ and ‘Total amount unit’ are required </v>
      </c>
      <c r="I285" s="236" t="s">
        <v>1853</v>
      </c>
      <c r="J285" s="52" t="b">
        <f>IF(OR(INDEX(OHZ_HAZ_TOTAMOUNT,28,1)&lt;&gt;"",),IF(OR(INDEX(OHZ_HAZ_TOTNETGROSS,28,1)="",INDEX(OHZ_HAZ_TOTUNIT,28,1)="",),FALSE,TRUE),TRUE)</f>
        <v>1</v>
      </c>
      <c r="K285" s="52" t="str">
        <f t="shared" si="10"/>
        <v xml:space="preserve">Row 28 - If ‘Total amount’ is given, then ‘Net / Gross’ and ‘Total amount unit’ are required </v>
      </c>
      <c r="L285" s="236" t="s">
        <v>1853</v>
      </c>
    </row>
    <row r="286" spans="6:19">
      <c r="F286" s="236" t="s">
        <v>1853</v>
      </c>
      <c r="G286" s="250" t="b">
        <f>IF(OR(INDEX(IHZ_HAZ_TOTAMOUNT,29,1)&lt;&gt;"",),IF(OR(INDEX(IHZ_HAZ_TOTNETGROSS,29,1)="",INDEX(IHZ_HAZ_TOTUNIT,29,1)="",),FALSE,TRUE),TRUE)</f>
        <v>1</v>
      </c>
      <c r="H286" s="52" t="str">
        <f t="shared" si="9"/>
        <v xml:space="preserve">Row 29 - If ‘Total amount’ is given, then ‘Net / Gross’ and ‘Total amount unit’ are required </v>
      </c>
      <c r="I286" s="236" t="s">
        <v>1853</v>
      </c>
      <c r="J286" s="52" t="b">
        <f>IF(OR(INDEX(OHZ_HAZ_TOTAMOUNT,29,1)&lt;&gt;"",),IF(OR(INDEX(OHZ_HAZ_TOTNETGROSS,29,1)="",INDEX(OHZ_HAZ_TOTUNIT,29,1)="",),FALSE,TRUE),TRUE)</f>
        <v>1</v>
      </c>
      <c r="K286" s="52" t="str">
        <f t="shared" si="10"/>
        <v xml:space="preserve">Row 29 - If ‘Total amount’ is given, then ‘Net / Gross’ and ‘Total amount unit’ are required </v>
      </c>
      <c r="L286" s="236" t="s">
        <v>1853</v>
      </c>
    </row>
    <row r="287" spans="6:19">
      <c r="F287" s="236" t="s">
        <v>1853</v>
      </c>
      <c r="G287" s="250" t="b">
        <f>IF(OR(INDEX(IHZ_HAZ_TOTAMOUNT,30,1)&lt;&gt;"",),IF(OR(INDEX(IHZ_HAZ_TOTNETGROSS,30,1)="",INDEX(IHZ_HAZ_TOTUNIT,30,1)="",),FALSE,TRUE),TRUE)</f>
        <v>1</v>
      </c>
      <c r="H287" s="52" t="str">
        <f t="shared" si="9"/>
        <v xml:space="preserve">Row 30 - If ‘Total amount’ is given, then ‘Net / Gross’ and ‘Total amount unit’ are required </v>
      </c>
      <c r="I287" s="236" t="s">
        <v>1853</v>
      </c>
      <c r="J287" s="52" t="b">
        <f>IF(OR(INDEX(OHZ_HAZ_TOTAMOUNT,30,1)&lt;&gt;"",),IF(OR(INDEX(OHZ_HAZ_TOTNETGROSS,30,1)="",INDEX(OHZ_HAZ_TOTUNIT,30,1)="",),FALSE,TRUE),TRUE)</f>
        <v>1</v>
      </c>
      <c r="K287" s="52" t="str">
        <f t="shared" si="10"/>
        <v xml:space="preserve">Row 30 - If ‘Total amount’ is given, then ‘Net / Gross’ and ‘Total amount unit’ are required </v>
      </c>
      <c r="L287" s="236" t="s">
        <v>1853</v>
      </c>
    </row>
    <row r="288" spans="6:19">
      <c r="F288" s="236" t="s">
        <v>1853</v>
      </c>
      <c r="G288" s="250" t="b">
        <f>IF(OR(INDEX(IHZ_HAZ_TOTAMOUNT,31,1)&lt;&gt;"",),IF(OR(INDEX(IHZ_HAZ_TOTNETGROSS,31,1)="",INDEX(IHZ_HAZ_TOTUNIT,31,1)="",),FALSE,TRUE),TRUE)</f>
        <v>1</v>
      </c>
      <c r="H288" s="52" t="str">
        <f t="shared" si="9"/>
        <v xml:space="preserve">Row 31 - If ‘Total amount’ is given, then ‘Net / Gross’ and ‘Total amount unit’ are required </v>
      </c>
      <c r="I288" s="236" t="s">
        <v>1853</v>
      </c>
      <c r="J288" s="52" t="b">
        <f>IF(OR(INDEX(OHZ_HAZ_TOTAMOUNT,31,1)&lt;&gt;"",),IF(OR(INDEX(OHZ_HAZ_TOTNETGROSS,31,1)="",INDEX(OHZ_HAZ_TOTUNIT,31,1)="",),FALSE,TRUE),TRUE)</f>
        <v>1</v>
      </c>
      <c r="K288" s="52" t="str">
        <f t="shared" si="10"/>
        <v xml:space="preserve">Row 31 - If ‘Total amount’ is given, then ‘Net / Gross’ and ‘Total amount unit’ are required </v>
      </c>
      <c r="L288" s="236" t="s">
        <v>1853</v>
      </c>
    </row>
    <row r="289" spans="6:12">
      <c r="F289" s="236" t="s">
        <v>1853</v>
      </c>
      <c r="G289" s="250" t="b">
        <f>IF(OR(INDEX(IHZ_HAZ_TOTAMOUNT,32,1)&lt;&gt;"",),IF(OR(INDEX(IHZ_HAZ_TOTNETGROSS,32,1)="",INDEX(IHZ_HAZ_TOTUNIT,32,1)="",),FALSE,TRUE),TRUE)</f>
        <v>1</v>
      </c>
      <c r="H289" s="52" t="str">
        <f t="shared" si="9"/>
        <v xml:space="preserve">Row 32 - If ‘Total amount’ is given, then ‘Net / Gross’ and ‘Total amount unit’ are required </v>
      </c>
      <c r="I289" s="236" t="s">
        <v>1853</v>
      </c>
      <c r="J289" s="52" t="b">
        <f>IF(OR(INDEX(OHZ_HAZ_TOTAMOUNT,32,1)&lt;&gt;"",),IF(OR(INDEX(OHZ_HAZ_TOTNETGROSS,32,1)="",INDEX(OHZ_HAZ_TOTUNIT,32,1)="",),FALSE,TRUE),TRUE)</f>
        <v>1</v>
      </c>
      <c r="K289" s="52" t="str">
        <f t="shared" si="10"/>
        <v xml:space="preserve">Row 32 - If ‘Total amount’ is given, then ‘Net / Gross’ and ‘Total amount unit’ are required </v>
      </c>
      <c r="L289" s="236" t="s">
        <v>1853</v>
      </c>
    </row>
    <row r="290" spans="6:12">
      <c r="F290" s="236" t="s">
        <v>1853</v>
      </c>
      <c r="G290" s="250" t="b">
        <f>IF(OR(INDEX(IHZ_HAZ_TOTAMOUNT,33,1)&lt;&gt;"",),IF(OR(INDEX(IHZ_HAZ_TOTNETGROSS,33,1)="",INDEX(IHZ_HAZ_TOTUNIT,33,1)="",),FALSE,TRUE),TRUE)</f>
        <v>1</v>
      </c>
      <c r="H290" s="52" t="str">
        <f t="shared" si="9"/>
        <v xml:space="preserve">Row 33 - If ‘Total amount’ is given, then ‘Net / Gross’ and ‘Total amount unit’ are required </v>
      </c>
      <c r="I290" s="236" t="s">
        <v>1853</v>
      </c>
      <c r="J290" s="52" t="b">
        <f>IF(OR(INDEX(OHZ_HAZ_TOTAMOUNT,33,1)&lt;&gt;"",),IF(OR(INDEX(OHZ_HAZ_TOTNETGROSS,33,1)="",INDEX(OHZ_HAZ_TOTUNIT,33,1)="",),FALSE,TRUE),TRUE)</f>
        <v>1</v>
      </c>
      <c r="K290" s="52" t="str">
        <f t="shared" si="10"/>
        <v xml:space="preserve">Row 33 - If ‘Total amount’ is given, then ‘Net / Gross’ and ‘Total amount unit’ are required </v>
      </c>
      <c r="L290" s="236" t="s">
        <v>1853</v>
      </c>
    </row>
    <row r="291" spans="6:12">
      <c r="F291" s="236" t="s">
        <v>1853</v>
      </c>
      <c r="G291" s="250" t="b">
        <f>IF(OR(INDEX(IHZ_HAZ_TOTAMOUNT,34,1)&lt;&gt;"",),IF(OR(INDEX(IHZ_HAZ_TOTNETGROSS,34,1)="",INDEX(IHZ_HAZ_TOTUNIT,34,1)="",),FALSE,TRUE),TRUE)</f>
        <v>1</v>
      </c>
      <c r="H291" s="52" t="str">
        <f t="shared" si="9"/>
        <v xml:space="preserve">Row 34 - If ‘Total amount’ is given, then ‘Net / Gross’ and ‘Total amount unit’ are required </v>
      </c>
      <c r="I291" s="236" t="s">
        <v>1853</v>
      </c>
      <c r="J291" s="52" t="b">
        <f>IF(OR(INDEX(OHZ_HAZ_TOTAMOUNT,34,1)&lt;&gt;"",),IF(OR(INDEX(OHZ_HAZ_TOTNETGROSS,34,1)="",INDEX(OHZ_HAZ_TOTUNIT,34,1)="",),FALSE,TRUE),TRUE)</f>
        <v>1</v>
      </c>
      <c r="K291" s="52" t="str">
        <f t="shared" si="10"/>
        <v xml:space="preserve">Row 34 - If ‘Total amount’ is given, then ‘Net / Gross’ and ‘Total amount unit’ are required </v>
      </c>
      <c r="L291" s="236" t="s">
        <v>1853</v>
      </c>
    </row>
    <row r="292" spans="6:12">
      <c r="F292" s="236" t="s">
        <v>1853</v>
      </c>
      <c r="G292" s="250" t="b">
        <f>IF(OR(INDEX(IHZ_HAZ_TOTAMOUNT,35,1)&lt;&gt;"",),IF(OR(INDEX(IHZ_HAZ_TOTNETGROSS,35,1)="",INDEX(IHZ_HAZ_TOTUNIT,35,1)="",),FALSE,TRUE),TRUE)</f>
        <v>1</v>
      </c>
      <c r="H292" s="52" t="str">
        <f t="shared" si="9"/>
        <v xml:space="preserve">Row 35 - If ‘Total amount’ is given, then ‘Net / Gross’ and ‘Total amount unit’ are required </v>
      </c>
      <c r="I292" s="236" t="s">
        <v>1853</v>
      </c>
      <c r="J292" s="52" t="b">
        <f>IF(OR(INDEX(OHZ_HAZ_TOTAMOUNT,35,1)&lt;&gt;"",),IF(OR(INDEX(OHZ_HAZ_TOTNETGROSS,35,1)="",INDEX(OHZ_HAZ_TOTUNIT,35,1)="",),FALSE,TRUE),TRUE)</f>
        <v>1</v>
      </c>
      <c r="K292" s="52" t="str">
        <f t="shared" si="10"/>
        <v xml:space="preserve">Row 35 - If ‘Total amount’ is given, then ‘Net / Gross’ and ‘Total amount unit’ are required </v>
      </c>
      <c r="L292" s="236" t="s">
        <v>1853</v>
      </c>
    </row>
    <row r="293" spans="6:12">
      <c r="F293" s="236" t="s">
        <v>1853</v>
      </c>
      <c r="G293" s="250" t="b">
        <f>IF(OR(INDEX(IHZ_HAZ_TOTAMOUNT,36,1)&lt;&gt;"",),IF(OR(INDEX(IHZ_HAZ_TOTNETGROSS,36,1)="",INDEX(IHZ_HAZ_TOTUNIT,36,1)="",),FALSE,TRUE),TRUE)</f>
        <v>1</v>
      </c>
      <c r="H293" s="52" t="str">
        <f t="shared" si="9"/>
        <v xml:space="preserve">Row 36 - If ‘Total amount’ is given, then ‘Net / Gross’ and ‘Total amount unit’ are required </v>
      </c>
      <c r="I293" s="236" t="s">
        <v>1853</v>
      </c>
      <c r="J293" s="52" t="b">
        <f>IF(OR(INDEX(OHZ_HAZ_TOTAMOUNT,36,1)&lt;&gt;"",),IF(OR(INDEX(OHZ_HAZ_TOTNETGROSS,36,1)="",INDEX(OHZ_HAZ_TOTUNIT,36,1)="",),FALSE,TRUE),TRUE)</f>
        <v>1</v>
      </c>
      <c r="K293" s="52" t="str">
        <f t="shared" si="10"/>
        <v xml:space="preserve">Row 36 - If ‘Total amount’ is given, then ‘Net / Gross’ and ‘Total amount unit’ are required </v>
      </c>
      <c r="L293" s="236" t="s">
        <v>1853</v>
      </c>
    </row>
    <row r="294" spans="6:12">
      <c r="F294" s="236" t="s">
        <v>1853</v>
      </c>
      <c r="G294" s="250" t="b">
        <f>IF(OR(INDEX(IHZ_HAZ_TOTAMOUNT,37,1)&lt;&gt;"",),IF(OR(INDEX(IHZ_HAZ_TOTNETGROSS,37,1)="",INDEX(IHZ_HAZ_TOTUNIT,37,1)="",),FALSE,TRUE),TRUE)</f>
        <v>1</v>
      </c>
      <c r="H294" s="52" t="str">
        <f t="shared" si="9"/>
        <v xml:space="preserve">Row 37 - If ‘Total amount’ is given, then ‘Net / Gross’ and ‘Total amount unit’ are required </v>
      </c>
      <c r="I294" s="236" t="s">
        <v>1853</v>
      </c>
      <c r="J294" s="52" t="b">
        <f>IF(OR(INDEX(OHZ_HAZ_TOTAMOUNT,37,1)&lt;&gt;"",),IF(OR(INDEX(OHZ_HAZ_TOTNETGROSS,37,1)="",INDEX(OHZ_HAZ_TOTUNIT,37,1)="",),FALSE,TRUE),TRUE)</f>
        <v>1</v>
      </c>
      <c r="K294" s="52" t="str">
        <f t="shared" si="10"/>
        <v xml:space="preserve">Row 37 - If ‘Total amount’ is given, then ‘Net / Gross’ and ‘Total amount unit’ are required </v>
      </c>
      <c r="L294" s="236" t="s">
        <v>1853</v>
      </c>
    </row>
    <row r="295" spans="6:12">
      <c r="F295" s="236" t="s">
        <v>1853</v>
      </c>
      <c r="G295" s="250" t="b">
        <f>IF(OR(INDEX(IHZ_HAZ_TOTAMOUNT,38,1)&lt;&gt;"",),IF(OR(INDEX(IHZ_HAZ_TOTNETGROSS,38,1)="",INDEX(IHZ_HAZ_TOTUNIT,38,1)="",),FALSE,TRUE),TRUE)</f>
        <v>1</v>
      </c>
      <c r="H295" s="52" t="str">
        <f t="shared" si="9"/>
        <v xml:space="preserve">Row 38 - If ‘Total amount’ is given, then ‘Net / Gross’ and ‘Total amount unit’ are required </v>
      </c>
      <c r="I295" s="236" t="s">
        <v>1853</v>
      </c>
      <c r="J295" s="52" t="b">
        <f>IF(OR(INDEX(OHZ_HAZ_TOTAMOUNT,38,1)&lt;&gt;"",),IF(OR(INDEX(OHZ_HAZ_TOTNETGROSS,38,1)="",INDEX(OHZ_HAZ_TOTUNIT,38,1)="",),FALSE,TRUE),TRUE)</f>
        <v>1</v>
      </c>
      <c r="K295" s="52" t="str">
        <f t="shared" si="10"/>
        <v xml:space="preserve">Row 38 - If ‘Total amount’ is given, then ‘Net / Gross’ and ‘Total amount unit’ are required </v>
      </c>
      <c r="L295" s="236" t="s">
        <v>1853</v>
      </c>
    </row>
    <row r="296" spans="6:12">
      <c r="F296" s="236" t="s">
        <v>1853</v>
      </c>
      <c r="G296" s="250" t="b">
        <f>IF(OR(INDEX(IHZ_HAZ_TOTAMOUNT,39,1)&lt;&gt;"",),IF(OR(INDEX(IHZ_HAZ_TOTNETGROSS,39,1)="",INDEX(IHZ_HAZ_TOTUNIT,39,1)="",),FALSE,TRUE),TRUE)</f>
        <v>1</v>
      </c>
      <c r="H296" s="52" t="str">
        <f t="shared" si="9"/>
        <v xml:space="preserve">Row 39 - If ‘Total amount’ is given, then ‘Net / Gross’ and ‘Total amount unit’ are required </v>
      </c>
      <c r="I296" s="236" t="s">
        <v>1853</v>
      </c>
      <c r="J296" s="52" t="b">
        <f>IF(OR(INDEX(OHZ_HAZ_TOTAMOUNT,39,1)&lt;&gt;"",),IF(OR(INDEX(OHZ_HAZ_TOTNETGROSS,39,1)="",INDEX(OHZ_HAZ_TOTUNIT,39,1)="",),FALSE,TRUE),TRUE)</f>
        <v>1</v>
      </c>
      <c r="K296" s="52" t="str">
        <f t="shared" si="10"/>
        <v xml:space="preserve">Row 39 - If ‘Total amount’ is given, then ‘Net / Gross’ and ‘Total amount unit’ are required </v>
      </c>
      <c r="L296" s="236" t="s">
        <v>1853</v>
      </c>
    </row>
    <row r="297" spans="6:12">
      <c r="F297" s="236" t="s">
        <v>1853</v>
      </c>
      <c r="G297" s="250" t="b">
        <f>IF(OR(INDEX(IHZ_HAZ_TOTAMOUNT,40,1)&lt;&gt;"",),IF(OR(INDEX(IHZ_HAZ_TOTNETGROSS,40,1)="",INDEX(IHZ_HAZ_TOTUNIT,40,1)="",),FALSE,TRUE),TRUE)</f>
        <v>1</v>
      </c>
      <c r="H297" s="52" t="str">
        <f t="shared" si="9"/>
        <v xml:space="preserve">Row 40 - If ‘Total amount’ is given, then ‘Net / Gross’ and ‘Total amount unit’ are required </v>
      </c>
      <c r="I297" s="236" t="s">
        <v>1853</v>
      </c>
      <c r="J297" s="52" t="b">
        <f>IF(OR(INDEX(OHZ_HAZ_TOTAMOUNT,40,1)&lt;&gt;"",),IF(OR(INDEX(OHZ_HAZ_TOTNETGROSS,40,1)="",INDEX(OHZ_HAZ_TOTUNIT,40,1)="",),FALSE,TRUE),TRUE)</f>
        <v>1</v>
      </c>
      <c r="K297" s="52" t="str">
        <f t="shared" si="10"/>
        <v xml:space="preserve">Row 40 - If ‘Total amount’ is given, then ‘Net / Gross’ and ‘Total amount unit’ are required </v>
      </c>
      <c r="L297" s="236" t="s">
        <v>1853</v>
      </c>
    </row>
    <row r="298" spans="6:12">
      <c r="F298" s="236" t="s">
        <v>1853</v>
      </c>
      <c r="G298" s="250" t="b">
        <f>IF(OR(INDEX(IHZ_HAZ_TOTAMOUNT,41,1)&lt;&gt;"",),IF(OR(INDEX(IHZ_HAZ_TOTNETGROSS,41,1)="",INDEX(IHZ_HAZ_TOTUNIT,41,1)="",),FALSE,TRUE),TRUE)</f>
        <v>1</v>
      </c>
      <c r="H298" s="52" t="str">
        <f t="shared" si="9"/>
        <v xml:space="preserve">Row 41 - If ‘Total amount’ is given, then ‘Net / Gross’ and ‘Total amount unit’ are required </v>
      </c>
      <c r="I298" s="236" t="s">
        <v>1853</v>
      </c>
      <c r="J298" s="52" t="b">
        <f>IF(OR(INDEX(OHZ_HAZ_TOTAMOUNT,41,1)&lt;&gt;"",),IF(OR(INDEX(OHZ_HAZ_TOTNETGROSS,41,1)="",INDEX(OHZ_HAZ_TOTUNIT,41,1)="",),FALSE,TRUE),TRUE)</f>
        <v>1</v>
      </c>
      <c r="K298" s="52" t="str">
        <f t="shared" si="10"/>
        <v xml:space="preserve">Row 41 - If ‘Total amount’ is given, then ‘Net / Gross’ and ‘Total amount unit’ are required </v>
      </c>
      <c r="L298" s="236" t="s">
        <v>1853</v>
      </c>
    </row>
    <row r="299" spans="6:12">
      <c r="F299" s="236" t="s">
        <v>1853</v>
      </c>
      <c r="G299" s="250" t="b">
        <f>IF(OR(INDEX(IHZ_HAZ_TOTAMOUNT,42,1)&lt;&gt;"",),IF(OR(INDEX(IHZ_HAZ_TOTNETGROSS,42,1)="",INDEX(IHZ_HAZ_TOTUNIT,42,1)="",),FALSE,TRUE),TRUE)</f>
        <v>1</v>
      </c>
      <c r="H299" s="52" t="str">
        <f t="shared" si="9"/>
        <v xml:space="preserve">Row 42 - If ‘Total amount’ is given, then ‘Net / Gross’ and ‘Total amount unit’ are required </v>
      </c>
      <c r="I299" s="236" t="s">
        <v>1853</v>
      </c>
      <c r="J299" s="52" t="b">
        <f>IF(OR(INDEX(OHZ_HAZ_TOTAMOUNT,42,1)&lt;&gt;"",),IF(OR(INDEX(OHZ_HAZ_TOTNETGROSS,42,1)="",INDEX(OHZ_HAZ_TOTUNIT,42,1)="",),FALSE,TRUE),TRUE)</f>
        <v>1</v>
      </c>
      <c r="K299" s="52" t="str">
        <f t="shared" si="10"/>
        <v xml:space="preserve">Row 42 - If ‘Total amount’ is given, then ‘Net / Gross’ and ‘Total amount unit’ are required </v>
      </c>
      <c r="L299" s="236" t="s">
        <v>1853</v>
      </c>
    </row>
    <row r="300" spans="6:12">
      <c r="F300" s="236" t="s">
        <v>1853</v>
      </c>
      <c r="G300" s="250" t="b">
        <f>IF(OR(INDEX(IHZ_HAZ_TOTAMOUNT,43,1)&lt;&gt;"",),IF(OR(INDEX(IHZ_HAZ_TOTNETGROSS,43,1)="",INDEX(IHZ_HAZ_TOTUNIT,43,1)="",),FALSE,TRUE),TRUE)</f>
        <v>1</v>
      </c>
      <c r="H300" s="52" t="str">
        <f t="shared" si="9"/>
        <v xml:space="preserve">Row 43 - If ‘Total amount’ is given, then ‘Net / Gross’ and ‘Total amount unit’ are required </v>
      </c>
      <c r="I300" s="236" t="s">
        <v>1853</v>
      </c>
      <c r="J300" s="52" t="b">
        <f>IF(OR(INDEX(OHZ_HAZ_TOTAMOUNT,43,1)&lt;&gt;"",),IF(OR(INDEX(OHZ_HAZ_TOTNETGROSS,43,1)="",INDEX(OHZ_HAZ_TOTUNIT,43,1)="",),FALSE,TRUE),TRUE)</f>
        <v>1</v>
      </c>
      <c r="K300" s="52" t="str">
        <f t="shared" si="10"/>
        <v xml:space="preserve">Row 43 - If ‘Total amount’ is given, then ‘Net / Gross’ and ‘Total amount unit’ are required </v>
      </c>
      <c r="L300" s="236" t="s">
        <v>1853</v>
      </c>
    </row>
    <row r="301" spans="6:12">
      <c r="F301" s="236" t="s">
        <v>1853</v>
      </c>
      <c r="G301" s="250" t="b">
        <f>IF(OR(INDEX(IHZ_HAZ_TOTAMOUNT,44,1)&lt;&gt;"",),IF(OR(INDEX(IHZ_HAZ_TOTNETGROSS,44,1)="",INDEX(IHZ_HAZ_TOTUNIT,44,1)="",),FALSE,TRUE),TRUE)</f>
        <v>1</v>
      </c>
      <c r="H301" s="52" t="str">
        <f t="shared" si="9"/>
        <v xml:space="preserve">Row 44 - If ‘Total amount’ is given, then ‘Net / Gross’ and ‘Total amount unit’ are required </v>
      </c>
      <c r="I301" s="236" t="s">
        <v>1853</v>
      </c>
      <c r="J301" s="52" t="b">
        <f>IF(OR(INDEX(OHZ_HAZ_TOTAMOUNT,44,1)&lt;&gt;"",),IF(OR(INDEX(OHZ_HAZ_TOTNETGROSS,44,1)="",INDEX(OHZ_HAZ_TOTUNIT,44,1)="",),FALSE,TRUE),TRUE)</f>
        <v>1</v>
      </c>
      <c r="K301" s="52" t="str">
        <f t="shared" si="10"/>
        <v xml:space="preserve">Row 44 - If ‘Total amount’ is given, then ‘Net / Gross’ and ‘Total amount unit’ are required </v>
      </c>
      <c r="L301" s="236" t="s">
        <v>1853</v>
      </c>
    </row>
    <row r="302" spans="6:12">
      <c r="F302" s="236" t="s">
        <v>1853</v>
      </c>
      <c r="G302" s="250" t="b">
        <f>IF(OR(INDEX(IHZ_HAZ_TOTAMOUNT,45,1)&lt;&gt;"",),IF(OR(INDEX(IHZ_HAZ_TOTNETGROSS,45,1)="",INDEX(IHZ_HAZ_TOTUNIT,45,1)="",),FALSE,TRUE),TRUE)</f>
        <v>1</v>
      </c>
      <c r="H302" s="52" t="str">
        <f t="shared" si="9"/>
        <v xml:space="preserve">Row 45 - If ‘Total amount’ is given, then ‘Net / Gross’ and ‘Total amount unit’ are required </v>
      </c>
      <c r="I302" s="236" t="s">
        <v>1853</v>
      </c>
      <c r="J302" s="52" t="b">
        <f>IF(OR(INDEX(OHZ_HAZ_TOTAMOUNT,45,1)&lt;&gt;"",),IF(OR(INDEX(OHZ_HAZ_TOTNETGROSS,45,1)="",INDEX(OHZ_HAZ_TOTUNIT,45,1)="",),FALSE,TRUE),TRUE)</f>
        <v>1</v>
      </c>
      <c r="K302" s="52" t="str">
        <f t="shared" si="10"/>
        <v xml:space="preserve">Row 45 - If ‘Total amount’ is given, then ‘Net / Gross’ and ‘Total amount unit’ are required </v>
      </c>
      <c r="L302" s="236" t="s">
        <v>1853</v>
      </c>
    </row>
    <row r="303" spans="6:12">
      <c r="F303" s="236" t="s">
        <v>1853</v>
      </c>
      <c r="G303" s="250" t="b">
        <f>IF(OR(INDEX(IHZ_HAZ_TOTAMOUNT,46,1)&lt;&gt;"",),IF(OR(INDEX(IHZ_HAZ_TOTNETGROSS,46,1)="",INDEX(IHZ_HAZ_TOTUNIT,46,1)="",),FALSE,TRUE),TRUE)</f>
        <v>1</v>
      </c>
      <c r="H303" s="52" t="str">
        <f t="shared" si="9"/>
        <v xml:space="preserve">Row 46 - If ‘Total amount’ is given, then ‘Net / Gross’ and ‘Total amount unit’ are required </v>
      </c>
      <c r="I303" s="236" t="s">
        <v>1853</v>
      </c>
      <c r="J303" s="52" t="b">
        <f>IF(OR(INDEX(OHZ_HAZ_TOTAMOUNT,46,1)&lt;&gt;"",),IF(OR(INDEX(OHZ_HAZ_TOTNETGROSS,46,1)="",INDEX(OHZ_HAZ_TOTUNIT,46,1)="",),FALSE,TRUE),TRUE)</f>
        <v>1</v>
      </c>
      <c r="K303" s="52" t="str">
        <f t="shared" si="10"/>
        <v xml:space="preserve">Row 46 - If ‘Total amount’ is given, then ‘Net / Gross’ and ‘Total amount unit’ are required </v>
      </c>
      <c r="L303" s="236" t="s">
        <v>1853</v>
      </c>
    </row>
    <row r="304" spans="6:12">
      <c r="F304" s="236" t="s">
        <v>1853</v>
      </c>
      <c r="G304" s="250" t="b">
        <f>IF(OR(INDEX(IHZ_HAZ_TOTAMOUNT,47,1)&lt;&gt;"",),IF(OR(INDEX(IHZ_HAZ_TOTNETGROSS,47,1)="",INDEX(IHZ_HAZ_TOTUNIT,47,1)="",),FALSE,TRUE),TRUE)</f>
        <v>1</v>
      </c>
      <c r="H304" s="52" t="str">
        <f t="shared" si="9"/>
        <v xml:space="preserve">Row 47 - If ‘Total amount’ is given, then ‘Net / Gross’ and ‘Total amount unit’ are required </v>
      </c>
      <c r="I304" s="236" t="s">
        <v>1853</v>
      </c>
      <c r="J304" s="52" t="b">
        <f>IF(OR(INDEX(OHZ_HAZ_TOTAMOUNT,47,1)&lt;&gt;"",),IF(OR(INDEX(OHZ_HAZ_TOTNETGROSS,47,1)="",INDEX(OHZ_HAZ_TOTUNIT,47,1)="",),FALSE,TRUE),TRUE)</f>
        <v>1</v>
      </c>
      <c r="K304" s="52" t="str">
        <f t="shared" si="10"/>
        <v xml:space="preserve">Row 47 - If ‘Total amount’ is given, then ‘Net / Gross’ and ‘Total amount unit’ are required </v>
      </c>
      <c r="L304" s="236" t="s">
        <v>1853</v>
      </c>
    </row>
    <row r="305" spans="6:12">
      <c r="F305" s="236" t="s">
        <v>1853</v>
      </c>
      <c r="G305" s="250" t="b">
        <f>IF(OR(INDEX(IHZ_HAZ_TOTAMOUNT,48,1)&lt;&gt;"",),IF(OR(INDEX(IHZ_HAZ_TOTNETGROSS,48,1)="",INDEX(IHZ_HAZ_TOTUNIT,48,1)="",),FALSE,TRUE),TRUE)</f>
        <v>1</v>
      </c>
      <c r="H305" s="52" t="str">
        <f t="shared" si="9"/>
        <v xml:space="preserve">Row 48 - If ‘Total amount’ is given, then ‘Net / Gross’ and ‘Total amount unit’ are required </v>
      </c>
      <c r="I305" s="236" t="s">
        <v>1853</v>
      </c>
      <c r="J305" s="52" t="b">
        <f>IF(OR(INDEX(OHZ_HAZ_TOTAMOUNT,48,1)&lt;&gt;"",),IF(OR(INDEX(OHZ_HAZ_TOTNETGROSS,48,1)="",INDEX(OHZ_HAZ_TOTUNIT,48,1)="",),FALSE,TRUE),TRUE)</f>
        <v>1</v>
      </c>
      <c r="K305" s="52" t="str">
        <f t="shared" si="10"/>
        <v xml:space="preserve">Row 48 - If ‘Total amount’ is given, then ‘Net / Gross’ and ‘Total amount unit’ are required </v>
      </c>
      <c r="L305" s="236" t="s">
        <v>1853</v>
      </c>
    </row>
    <row r="306" spans="6:12">
      <c r="F306" s="236" t="s">
        <v>1853</v>
      </c>
      <c r="G306" s="250" t="b">
        <f>IF(OR(INDEX(IHZ_HAZ_TOTAMOUNT,49,1)&lt;&gt;"",),IF(OR(INDEX(IHZ_HAZ_TOTNETGROSS,49,1)="",INDEX(IHZ_HAZ_TOTUNIT,49,1)="",),FALSE,TRUE),TRUE)</f>
        <v>1</v>
      </c>
      <c r="H306" s="52" t="str">
        <f t="shared" si="9"/>
        <v xml:space="preserve">Row 49 - If ‘Total amount’ is given, then ‘Net / Gross’ and ‘Total amount unit’ are required </v>
      </c>
      <c r="I306" s="236" t="s">
        <v>1853</v>
      </c>
      <c r="J306" s="52" t="b">
        <f>IF(OR(INDEX(OHZ_HAZ_TOTAMOUNT,49,1)&lt;&gt;"",),IF(OR(INDEX(OHZ_HAZ_TOTNETGROSS,49,1)="",INDEX(OHZ_HAZ_TOTUNIT,49,1)="",),FALSE,TRUE),TRUE)</f>
        <v>1</v>
      </c>
      <c r="K306" s="52" t="str">
        <f t="shared" si="10"/>
        <v xml:space="preserve">Row 49 - If ‘Total amount’ is given, then ‘Net / Gross’ and ‘Total amount unit’ are required </v>
      </c>
      <c r="L306" s="236" t="s">
        <v>1853</v>
      </c>
    </row>
    <row r="307" spans="6:12">
      <c r="F307" s="236" t="s">
        <v>1853</v>
      </c>
      <c r="G307" s="250" t="b">
        <f>IF(OR(INDEX(IHZ_HAZ_TOTAMOUNT,50,1)&lt;&gt;"",),IF(OR(INDEX(IHZ_HAZ_TOTNETGROSS,50,1)="",INDEX(IHZ_HAZ_TOTUNIT,50,1)="",),FALSE,TRUE),TRUE)</f>
        <v>1</v>
      </c>
      <c r="H307" s="52" t="str">
        <f t="shared" si="9"/>
        <v xml:space="preserve">Row 50 - If ‘Total amount’ is given, then ‘Net / Gross’ and ‘Total amount unit’ are required </v>
      </c>
      <c r="I307" s="236" t="s">
        <v>1853</v>
      </c>
      <c r="J307" s="52" t="b">
        <f>IF(OR(INDEX(OHZ_HAZ_TOTAMOUNT,50,1)&lt;&gt;"",),IF(OR(INDEX(OHZ_HAZ_TOTNETGROSS,50,1)="",INDEX(OHZ_HAZ_TOTUNIT,50,1)="",),FALSE,TRUE),TRUE)</f>
        <v>1</v>
      </c>
      <c r="K307" s="52" t="str">
        <f t="shared" si="10"/>
        <v xml:space="preserve">Row 50 - If ‘Total amount’ is given, then ‘Net / Gross’ and ‘Total amount unit’ are required </v>
      </c>
      <c r="L307" s="236" t="s">
        <v>1853</v>
      </c>
    </row>
    <row r="308" spans="6:12">
      <c r="F308" s="236" t="s">
        <v>1853</v>
      </c>
      <c r="G308" s="250" t="b">
        <f>IF(OR(INDEX(IHZ_HAZ_TOTAMOUNT,51,1)&lt;&gt;"",),IF(OR(INDEX(IHZ_HAZ_TOTNETGROSS,51,1)="",INDEX(IHZ_HAZ_TOTUNIT,51,1)="",),FALSE,TRUE),TRUE)</f>
        <v>1</v>
      </c>
      <c r="H308" s="52" t="str">
        <f t="shared" si="9"/>
        <v xml:space="preserve">Row 51 - If ‘Total amount’ is given, then ‘Net / Gross’ and ‘Total amount unit’ are required </v>
      </c>
      <c r="I308" s="236" t="s">
        <v>1853</v>
      </c>
      <c r="J308" s="52" t="b">
        <f>IF(OR(INDEX(OHZ_HAZ_TOTAMOUNT,51,1)&lt;&gt;"",),IF(OR(INDEX(OHZ_HAZ_TOTNETGROSS,51,1)="",INDEX(OHZ_HAZ_TOTUNIT,51,1)="",),FALSE,TRUE),TRUE)</f>
        <v>1</v>
      </c>
      <c r="K308" s="52" t="str">
        <f t="shared" si="10"/>
        <v xml:space="preserve">Row 51 - If ‘Total amount’ is given, then ‘Net / Gross’ and ‘Total amount unit’ are required </v>
      </c>
      <c r="L308" s="236" t="s">
        <v>1853</v>
      </c>
    </row>
    <row r="309" spans="6:12">
      <c r="F309" s="236" t="s">
        <v>1853</v>
      </c>
      <c r="G309" s="250" t="b">
        <f>IF(OR(INDEX(IHZ_HAZ_TOTAMOUNT,52,1)&lt;&gt;"",),IF(OR(INDEX(IHZ_HAZ_TOTNETGROSS,52,1)="",INDEX(IHZ_HAZ_TOTUNIT,52,1)="",),FALSE,TRUE),TRUE)</f>
        <v>1</v>
      </c>
      <c r="H309" s="52" t="str">
        <f t="shared" si="9"/>
        <v xml:space="preserve">Row 52 - If ‘Total amount’ is given, then ‘Net / Gross’ and ‘Total amount unit’ are required </v>
      </c>
      <c r="I309" s="236" t="s">
        <v>1853</v>
      </c>
      <c r="J309" s="52" t="b">
        <f>IF(OR(INDEX(OHZ_HAZ_TOTAMOUNT,52,1)&lt;&gt;"",),IF(OR(INDEX(OHZ_HAZ_TOTNETGROSS,52,1)="",INDEX(OHZ_HAZ_TOTUNIT,52,1)="",),FALSE,TRUE),TRUE)</f>
        <v>1</v>
      </c>
      <c r="K309" s="52" t="str">
        <f t="shared" si="10"/>
        <v xml:space="preserve">Row 52 - If ‘Total amount’ is given, then ‘Net / Gross’ and ‘Total amount unit’ are required </v>
      </c>
      <c r="L309" s="236" t="s">
        <v>1853</v>
      </c>
    </row>
    <row r="310" spans="6:12">
      <c r="F310" s="236" t="s">
        <v>1853</v>
      </c>
      <c r="G310" s="250" t="b">
        <f>IF(OR(INDEX(IHZ_HAZ_TOTAMOUNT,53,1)&lt;&gt;"",),IF(OR(INDEX(IHZ_HAZ_TOTNETGROSS,53,1)="",INDEX(IHZ_HAZ_TOTUNIT,53,1)="",),FALSE,TRUE),TRUE)</f>
        <v>1</v>
      </c>
      <c r="H310" s="52" t="str">
        <f t="shared" si="9"/>
        <v xml:space="preserve">Row 53 - If ‘Total amount’ is given, then ‘Net / Gross’ and ‘Total amount unit’ are required </v>
      </c>
      <c r="I310" s="236" t="s">
        <v>1853</v>
      </c>
      <c r="J310" s="52" t="b">
        <f>IF(OR(INDEX(OHZ_HAZ_TOTAMOUNT,53,1)&lt;&gt;"",),IF(OR(INDEX(OHZ_HAZ_TOTNETGROSS,53,1)="",INDEX(OHZ_HAZ_TOTUNIT,53,1)="",),FALSE,TRUE),TRUE)</f>
        <v>1</v>
      </c>
      <c r="K310" s="52" t="str">
        <f t="shared" si="10"/>
        <v xml:space="preserve">Row 53 - If ‘Total amount’ is given, then ‘Net / Gross’ and ‘Total amount unit’ are required </v>
      </c>
      <c r="L310" s="236" t="s">
        <v>1853</v>
      </c>
    </row>
    <row r="311" spans="6:12">
      <c r="F311" s="236" t="s">
        <v>1853</v>
      </c>
      <c r="G311" s="250" t="b">
        <f>IF(OR(INDEX(IHZ_HAZ_TOTAMOUNT,54,1)&lt;&gt;"",),IF(OR(INDEX(IHZ_HAZ_TOTNETGROSS,54,1)="",INDEX(IHZ_HAZ_TOTUNIT,54,1)="",),FALSE,TRUE),TRUE)</f>
        <v>1</v>
      </c>
      <c r="H311" s="52" t="str">
        <f t="shared" si="9"/>
        <v xml:space="preserve">Row 54 - If ‘Total amount’ is given, then ‘Net / Gross’ and ‘Total amount unit’ are required </v>
      </c>
      <c r="I311" s="236" t="s">
        <v>1853</v>
      </c>
      <c r="J311" s="52" t="b">
        <f>IF(OR(INDEX(OHZ_HAZ_TOTAMOUNT,54,1)&lt;&gt;"",),IF(OR(INDEX(OHZ_HAZ_TOTNETGROSS,54,1)="",INDEX(OHZ_HAZ_TOTUNIT,54,1)="",),FALSE,TRUE),TRUE)</f>
        <v>1</v>
      </c>
      <c r="K311" s="52" t="str">
        <f t="shared" si="10"/>
        <v xml:space="preserve">Row 54 - If ‘Total amount’ is given, then ‘Net / Gross’ and ‘Total amount unit’ are required </v>
      </c>
      <c r="L311" s="236" t="s">
        <v>1853</v>
      </c>
    </row>
    <row r="312" spans="6:12">
      <c r="F312" s="236" t="s">
        <v>1853</v>
      </c>
      <c r="G312" s="250" t="b">
        <f>IF(OR(INDEX(IHZ_HAZ_TOTAMOUNT,55,1)&lt;&gt;"",),IF(OR(INDEX(IHZ_HAZ_TOTNETGROSS,55,1)="",INDEX(IHZ_HAZ_TOTUNIT,55,1)="",),FALSE,TRUE),TRUE)</f>
        <v>1</v>
      </c>
      <c r="H312" s="52" t="str">
        <f t="shared" si="9"/>
        <v xml:space="preserve">Row 55 - If ‘Total amount’ is given, then ‘Net / Gross’ and ‘Total amount unit’ are required </v>
      </c>
      <c r="I312" s="236" t="s">
        <v>1853</v>
      </c>
      <c r="J312" s="52" t="b">
        <f>IF(OR(INDEX(OHZ_HAZ_TOTAMOUNT,55,1)&lt;&gt;"",),IF(OR(INDEX(OHZ_HAZ_TOTNETGROSS,55,1)="",INDEX(OHZ_HAZ_TOTUNIT,55,1)="",),FALSE,TRUE),TRUE)</f>
        <v>1</v>
      </c>
      <c r="K312" s="52" t="str">
        <f t="shared" si="10"/>
        <v xml:space="preserve">Row 55 - If ‘Total amount’ is given, then ‘Net / Gross’ and ‘Total amount unit’ are required </v>
      </c>
      <c r="L312" s="236" t="s">
        <v>1853</v>
      </c>
    </row>
    <row r="313" spans="6:12">
      <c r="F313" s="236" t="s">
        <v>1853</v>
      </c>
      <c r="G313" s="250" t="b">
        <f>IF(OR(INDEX(IHZ_HAZ_TOTAMOUNT,56,1)&lt;&gt;"",),IF(OR(INDEX(IHZ_HAZ_TOTNETGROSS,56,1)="",INDEX(IHZ_HAZ_TOTUNIT,56,1)="",),FALSE,TRUE),TRUE)</f>
        <v>1</v>
      </c>
      <c r="H313" s="52" t="str">
        <f t="shared" si="9"/>
        <v xml:space="preserve">Row 56 - If ‘Total amount’ is given, then ‘Net / Gross’ and ‘Total amount unit’ are required </v>
      </c>
      <c r="I313" s="236" t="s">
        <v>1853</v>
      </c>
      <c r="J313" s="52" t="b">
        <f>IF(OR(INDEX(OHZ_HAZ_TOTAMOUNT,56,1)&lt;&gt;"",),IF(OR(INDEX(OHZ_HAZ_TOTNETGROSS,56,1)="",INDEX(OHZ_HAZ_TOTUNIT,56,1)="",),FALSE,TRUE),TRUE)</f>
        <v>1</v>
      </c>
      <c r="K313" s="52" t="str">
        <f t="shared" si="10"/>
        <v xml:space="preserve">Row 56 - If ‘Total amount’ is given, then ‘Net / Gross’ and ‘Total amount unit’ are required </v>
      </c>
      <c r="L313" s="236" t="s">
        <v>1853</v>
      </c>
    </row>
    <row r="314" spans="6:12">
      <c r="F314" s="236" t="s">
        <v>1853</v>
      </c>
      <c r="G314" s="250" t="b">
        <f>IF(OR(INDEX(IHZ_HAZ_TOTAMOUNT,57,1)&lt;&gt;"",),IF(OR(INDEX(IHZ_HAZ_TOTNETGROSS,57,1)="",INDEX(IHZ_HAZ_TOTUNIT,57,1)="",),FALSE,TRUE),TRUE)</f>
        <v>1</v>
      </c>
      <c r="H314" s="52" t="str">
        <f t="shared" si="9"/>
        <v xml:space="preserve">Row 57 - If ‘Total amount’ is given, then ‘Net / Gross’ and ‘Total amount unit’ are required </v>
      </c>
      <c r="I314" s="236" t="s">
        <v>1853</v>
      </c>
      <c r="J314" s="52" t="b">
        <f>IF(OR(INDEX(OHZ_HAZ_TOTAMOUNT,57,1)&lt;&gt;"",),IF(OR(INDEX(OHZ_HAZ_TOTNETGROSS,57,1)="",INDEX(OHZ_HAZ_TOTUNIT,57,1)="",),FALSE,TRUE),TRUE)</f>
        <v>1</v>
      </c>
      <c r="K314" s="52" t="str">
        <f t="shared" si="10"/>
        <v xml:space="preserve">Row 57 - If ‘Total amount’ is given, then ‘Net / Gross’ and ‘Total amount unit’ are required </v>
      </c>
      <c r="L314" s="236" t="s">
        <v>1853</v>
      </c>
    </row>
    <row r="315" spans="6:12">
      <c r="F315" s="236" t="s">
        <v>1853</v>
      </c>
      <c r="G315" s="250" t="b">
        <f>IF(OR(INDEX(IHZ_HAZ_TOTAMOUNT,58,1)&lt;&gt;"",),IF(OR(INDEX(IHZ_HAZ_TOTNETGROSS,58,1)="",INDEX(IHZ_HAZ_TOTUNIT,58,1)="",),FALSE,TRUE),TRUE)</f>
        <v>1</v>
      </c>
      <c r="H315" s="52" t="str">
        <f t="shared" si="9"/>
        <v xml:space="preserve">Row 58 - If ‘Total amount’ is given, then ‘Net / Gross’ and ‘Total amount unit’ are required </v>
      </c>
      <c r="I315" s="236" t="s">
        <v>1853</v>
      </c>
      <c r="J315" s="52" t="b">
        <f>IF(OR(INDEX(OHZ_HAZ_TOTAMOUNT,58,1)&lt;&gt;"",),IF(OR(INDEX(OHZ_HAZ_TOTNETGROSS,58,1)="",INDEX(OHZ_HAZ_TOTUNIT,58,1)="",),FALSE,TRUE),TRUE)</f>
        <v>1</v>
      </c>
      <c r="K315" s="52" t="str">
        <f t="shared" si="10"/>
        <v xml:space="preserve">Row 58 - If ‘Total amount’ is given, then ‘Net / Gross’ and ‘Total amount unit’ are required </v>
      </c>
      <c r="L315" s="236" t="s">
        <v>1853</v>
      </c>
    </row>
    <row r="316" spans="6:12">
      <c r="F316" s="236" t="s">
        <v>1853</v>
      </c>
      <c r="G316" s="250" t="b">
        <f>IF(OR(INDEX(IHZ_HAZ_TOTAMOUNT,59,1)&lt;&gt;"",),IF(OR(INDEX(IHZ_HAZ_TOTNETGROSS,59,1)="",INDEX(IHZ_HAZ_TOTUNIT,59,1)="",),FALSE,TRUE),TRUE)</f>
        <v>1</v>
      </c>
      <c r="H316" s="52" t="str">
        <f t="shared" si="9"/>
        <v xml:space="preserve">Row 59 - If ‘Total amount’ is given, then ‘Net / Gross’ and ‘Total amount unit’ are required </v>
      </c>
      <c r="I316" s="236" t="s">
        <v>1853</v>
      </c>
      <c r="J316" s="52" t="b">
        <f>IF(OR(INDEX(OHZ_HAZ_TOTAMOUNT,59,1)&lt;&gt;"",),IF(OR(INDEX(OHZ_HAZ_TOTNETGROSS,59,1)="",INDEX(OHZ_HAZ_TOTUNIT,59,1)="",),FALSE,TRUE),TRUE)</f>
        <v>1</v>
      </c>
      <c r="K316" s="52" t="str">
        <f t="shared" si="10"/>
        <v xml:space="preserve">Row 59 - If ‘Total amount’ is given, then ‘Net / Gross’ and ‘Total amount unit’ are required </v>
      </c>
      <c r="L316" s="236" t="s">
        <v>1853</v>
      </c>
    </row>
    <row r="317" spans="6:12">
      <c r="F317" s="236" t="s">
        <v>1853</v>
      </c>
      <c r="G317" s="250" t="b">
        <f>IF(OR(INDEX(IHZ_HAZ_TOTAMOUNT,60,1)&lt;&gt;"",),IF(OR(INDEX(IHZ_HAZ_TOTNETGROSS,60,1)="",INDEX(IHZ_HAZ_TOTUNIT,60,1)="",),FALSE,TRUE),TRUE)</f>
        <v>1</v>
      </c>
      <c r="H317" s="52" t="str">
        <f t="shared" si="9"/>
        <v xml:space="preserve">Row 60 - If ‘Total amount’ is given, then ‘Net / Gross’ and ‘Total amount unit’ are required </v>
      </c>
      <c r="I317" s="236" t="s">
        <v>1853</v>
      </c>
      <c r="J317" s="52" t="b">
        <f>IF(OR(INDEX(OHZ_HAZ_TOTAMOUNT,60,1)&lt;&gt;"",),IF(OR(INDEX(OHZ_HAZ_TOTNETGROSS,60,1)="",INDEX(OHZ_HAZ_TOTUNIT,60,1)="",),FALSE,TRUE),TRUE)</f>
        <v>1</v>
      </c>
      <c r="K317" s="52" t="str">
        <f t="shared" si="10"/>
        <v xml:space="preserve">Row 60 - If ‘Total amount’ is given, then ‘Net / Gross’ and ‘Total amount unit’ are required </v>
      </c>
      <c r="L317" s="236" t="s">
        <v>1853</v>
      </c>
    </row>
    <row r="318" spans="6:12">
      <c r="F318" s="236" t="s">
        <v>1853</v>
      </c>
      <c r="G318" s="250" t="b">
        <f>IF(OR(INDEX(IHZ_HAZ_TOTAMOUNT,61,1)&lt;&gt;"",),IF(OR(INDEX(IHZ_HAZ_TOTNETGROSS,61,1)="",INDEX(IHZ_HAZ_TOTUNIT,61,1)="",),FALSE,TRUE),TRUE)</f>
        <v>1</v>
      </c>
      <c r="H318" s="52" t="str">
        <f t="shared" si="9"/>
        <v xml:space="preserve">Row 61 - If ‘Total amount’ is given, then ‘Net / Gross’ and ‘Total amount unit’ are required </v>
      </c>
      <c r="I318" s="236" t="s">
        <v>1853</v>
      </c>
      <c r="J318" s="52" t="b">
        <f>IF(OR(INDEX(OHZ_HAZ_TOTAMOUNT,61,1)&lt;&gt;"",),IF(OR(INDEX(OHZ_HAZ_TOTNETGROSS,61,1)="",INDEX(OHZ_HAZ_TOTUNIT,61,1)="",),FALSE,TRUE),TRUE)</f>
        <v>1</v>
      </c>
      <c r="K318" s="52" t="str">
        <f t="shared" si="10"/>
        <v xml:space="preserve">Row 61 - If ‘Total amount’ is given, then ‘Net / Gross’ and ‘Total amount unit’ are required </v>
      </c>
      <c r="L318" s="236" t="s">
        <v>1853</v>
      </c>
    </row>
    <row r="319" spans="6:12">
      <c r="F319" s="236" t="s">
        <v>1853</v>
      </c>
      <c r="G319" s="250" t="b">
        <f>IF(OR(INDEX(IHZ_HAZ_TOTAMOUNT,62,1)&lt;&gt;"",),IF(OR(INDEX(IHZ_HAZ_TOTNETGROSS,62,1)="",INDEX(IHZ_HAZ_TOTUNIT,62,1)="",),FALSE,TRUE),TRUE)</f>
        <v>1</v>
      </c>
      <c r="H319" s="52" t="str">
        <f t="shared" si="9"/>
        <v xml:space="preserve">Row 62 - If ‘Total amount’ is given, then ‘Net / Gross’ and ‘Total amount unit’ are required </v>
      </c>
      <c r="I319" s="236" t="s">
        <v>1853</v>
      </c>
      <c r="J319" s="52" t="b">
        <f>IF(OR(INDEX(OHZ_HAZ_TOTAMOUNT,62,1)&lt;&gt;"",),IF(OR(INDEX(OHZ_HAZ_TOTNETGROSS,62,1)="",INDEX(OHZ_HAZ_TOTUNIT,62,1)="",),FALSE,TRUE),TRUE)</f>
        <v>1</v>
      </c>
      <c r="K319" s="52" t="str">
        <f t="shared" si="10"/>
        <v xml:space="preserve">Row 62 - If ‘Total amount’ is given, then ‘Net / Gross’ and ‘Total amount unit’ are required </v>
      </c>
      <c r="L319" s="236" t="s">
        <v>1853</v>
      </c>
    </row>
    <row r="320" spans="6:12">
      <c r="F320" s="236" t="s">
        <v>1853</v>
      </c>
      <c r="G320" s="250" t="b">
        <f>IF(OR(INDEX(IHZ_HAZ_TOTAMOUNT,63,1)&lt;&gt;"",),IF(OR(INDEX(IHZ_HAZ_TOTNETGROSS,63,1)="",INDEX(IHZ_HAZ_TOTUNIT,63,1)="",),FALSE,TRUE),TRUE)</f>
        <v>1</v>
      </c>
      <c r="H320" s="52" t="str">
        <f t="shared" si="9"/>
        <v xml:space="preserve">Row 63 - If ‘Total amount’ is given, then ‘Net / Gross’ and ‘Total amount unit’ are required </v>
      </c>
      <c r="I320" s="236" t="s">
        <v>1853</v>
      </c>
      <c r="J320" s="52" t="b">
        <f>IF(OR(INDEX(OHZ_HAZ_TOTAMOUNT,63,1)&lt;&gt;"",),IF(OR(INDEX(OHZ_HAZ_TOTNETGROSS,63,1)="",INDEX(OHZ_HAZ_TOTUNIT,63,1)="",),FALSE,TRUE),TRUE)</f>
        <v>1</v>
      </c>
      <c r="K320" s="52" t="str">
        <f t="shared" si="10"/>
        <v xml:space="preserve">Row 63 - If ‘Total amount’ is given, then ‘Net / Gross’ and ‘Total amount unit’ are required </v>
      </c>
      <c r="L320" s="236" t="s">
        <v>1853</v>
      </c>
    </row>
    <row r="321" spans="6:12">
      <c r="F321" s="236" t="s">
        <v>1853</v>
      </c>
      <c r="G321" s="250" t="b">
        <f>IF(OR(INDEX(IHZ_HAZ_TOTAMOUNT,64,1)&lt;&gt;"",),IF(OR(INDEX(IHZ_HAZ_TOTNETGROSS,64,1)="",INDEX(IHZ_HAZ_TOTUNIT,64,1)="",),FALSE,TRUE),TRUE)</f>
        <v>1</v>
      </c>
      <c r="H321" s="52" t="str">
        <f t="shared" si="9"/>
        <v xml:space="preserve">Row 64 - If ‘Total amount’ is given, then ‘Net / Gross’ and ‘Total amount unit’ are required </v>
      </c>
      <c r="I321" s="236" t="s">
        <v>1853</v>
      </c>
      <c r="J321" s="52" t="b">
        <f>IF(OR(INDEX(OHZ_HAZ_TOTAMOUNT,64,1)&lt;&gt;"",),IF(OR(INDEX(OHZ_HAZ_TOTNETGROSS,64,1)="",INDEX(OHZ_HAZ_TOTUNIT,64,1)="",),FALSE,TRUE),TRUE)</f>
        <v>1</v>
      </c>
      <c r="K321" s="52" t="str">
        <f t="shared" si="10"/>
        <v xml:space="preserve">Row 64 - If ‘Total amount’ is given, then ‘Net / Gross’ and ‘Total amount unit’ are required </v>
      </c>
      <c r="L321" s="236" t="s">
        <v>1853</v>
      </c>
    </row>
    <row r="322" spans="6:12">
      <c r="F322" s="236" t="s">
        <v>1853</v>
      </c>
      <c r="G322" s="250" t="b">
        <f>IF(OR(INDEX(IHZ_HAZ_TOTAMOUNT,65,1)&lt;&gt;"",),IF(OR(INDEX(IHZ_HAZ_TOTNETGROSS,65,1)="",INDEX(IHZ_HAZ_TOTUNIT,65,1)="",),FALSE,TRUE),TRUE)</f>
        <v>1</v>
      </c>
      <c r="H322" s="52" t="str">
        <f t="shared" si="9"/>
        <v xml:space="preserve">Row 65 - If ‘Total amount’ is given, then ‘Net / Gross’ and ‘Total amount unit’ are required </v>
      </c>
      <c r="I322" s="236" t="s">
        <v>1853</v>
      </c>
      <c r="J322" s="52" t="b">
        <f>IF(OR(INDEX(OHZ_HAZ_TOTAMOUNT,65,1)&lt;&gt;"",),IF(OR(INDEX(OHZ_HAZ_TOTNETGROSS,65,1)="",INDEX(OHZ_HAZ_TOTUNIT,65,1)="",),FALSE,TRUE),TRUE)</f>
        <v>1</v>
      </c>
      <c r="K322" s="52" t="str">
        <f t="shared" si="10"/>
        <v xml:space="preserve">Row 65 - If ‘Total amount’ is given, then ‘Net / Gross’ and ‘Total amount unit’ are required </v>
      </c>
      <c r="L322" s="236" t="s">
        <v>1853</v>
      </c>
    </row>
    <row r="323" spans="6:12">
      <c r="F323" s="236" t="s">
        <v>1853</v>
      </c>
      <c r="G323" s="250" t="b">
        <f>IF(OR(INDEX(IHZ_HAZ_TOTAMOUNT,66,1)&lt;&gt;"",),IF(OR(INDEX(IHZ_HAZ_TOTNETGROSS,66,1)="",INDEX(IHZ_HAZ_TOTUNIT,66,1)="",),FALSE,TRUE),TRUE)</f>
        <v>1</v>
      </c>
      <c r="H323" s="52" t="str">
        <f t="shared" ref="H323:H386" si="11">T66&amp;$V$2</f>
        <v xml:space="preserve">Row 66 - If ‘Total amount’ is given, then ‘Net / Gross’ and ‘Total amount unit’ are required </v>
      </c>
      <c r="I323" s="236" t="s">
        <v>1853</v>
      </c>
      <c r="J323" s="52" t="b">
        <f>IF(OR(INDEX(OHZ_HAZ_TOTAMOUNT,66,1)&lt;&gt;"",),IF(OR(INDEX(OHZ_HAZ_TOTNETGROSS,66,1)="",INDEX(OHZ_HAZ_TOTUNIT,66,1)="",),FALSE,TRUE),TRUE)</f>
        <v>1</v>
      </c>
      <c r="K323" s="52" t="str">
        <f t="shared" ref="K323:K386" si="12">T66&amp;$V$2</f>
        <v xml:space="preserve">Row 66 - If ‘Total amount’ is given, then ‘Net / Gross’ and ‘Total amount unit’ are required </v>
      </c>
      <c r="L323" s="236" t="s">
        <v>1853</v>
      </c>
    </row>
    <row r="324" spans="6:12">
      <c r="F324" s="236" t="s">
        <v>1853</v>
      </c>
      <c r="G324" s="250" t="b">
        <f>IF(OR(INDEX(IHZ_HAZ_TOTAMOUNT,67,1)&lt;&gt;"",),IF(OR(INDEX(IHZ_HAZ_TOTNETGROSS,67,1)="",INDEX(IHZ_HAZ_TOTUNIT,67,1)="",),FALSE,TRUE),TRUE)</f>
        <v>1</v>
      </c>
      <c r="H324" s="52" t="str">
        <f t="shared" si="11"/>
        <v xml:space="preserve">Row 67 - If ‘Total amount’ is given, then ‘Net / Gross’ and ‘Total amount unit’ are required </v>
      </c>
      <c r="I324" s="236" t="s">
        <v>1853</v>
      </c>
      <c r="J324" s="52" t="b">
        <f>IF(OR(INDEX(OHZ_HAZ_TOTAMOUNT,67,1)&lt;&gt;"",),IF(OR(INDEX(OHZ_HAZ_TOTNETGROSS,67,1)="",INDEX(OHZ_HAZ_TOTUNIT,67,1)="",),FALSE,TRUE),TRUE)</f>
        <v>1</v>
      </c>
      <c r="K324" s="52" t="str">
        <f t="shared" si="12"/>
        <v xml:space="preserve">Row 67 - If ‘Total amount’ is given, then ‘Net / Gross’ and ‘Total amount unit’ are required </v>
      </c>
      <c r="L324" s="236" t="s">
        <v>1853</v>
      </c>
    </row>
    <row r="325" spans="6:12">
      <c r="F325" s="236" t="s">
        <v>1853</v>
      </c>
      <c r="G325" s="250" t="b">
        <f>IF(OR(INDEX(IHZ_HAZ_TOTAMOUNT,68,1)&lt;&gt;"",),IF(OR(INDEX(IHZ_HAZ_TOTNETGROSS,68,1)="",INDEX(IHZ_HAZ_TOTUNIT,68,1)="",),FALSE,TRUE),TRUE)</f>
        <v>1</v>
      </c>
      <c r="H325" s="52" t="str">
        <f t="shared" si="11"/>
        <v xml:space="preserve">Row 68 - If ‘Total amount’ is given, then ‘Net / Gross’ and ‘Total amount unit’ are required </v>
      </c>
      <c r="I325" s="236" t="s">
        <v>1853</v>
      </c>
      <c r="J325" s="52" t="b">
        <f>IF(OR(INDEX(OHZ_HAZ_TOTAMOUNT,68,1)&lt;&gt;"",),IF(OR(INDEX(OHZ_HAZ_TOTNETGROSS,68,1)="",INDEX(OHZ_HAZ_TOTUNIT,68,1)="",),FALSE,TRUE),TRUE)</f>
        <v>1</v>
      </c>
      <c r="K325" s="52" t="str">
        <f t="shared" si="12"/>
        <v xml:space="preserve">Row 68 - If ‘Total amount’ is given, then ‘Net / Gross’ and ‘Total amount unit’ are required </v>
      </c>
      <c r="L325" s="236" t="s">
        <v>1853</v>
      </c>
    </row>
    <row r="326" spans="6:12">
      <c r="F326" s="236" t="s">
        <v>1853</v>
      </c>
      <c r="G326" s="250" t="b">
        <f>IF(OR(INDEX(IHZ_HAZ_TOTAMOUNT,69,1)&lt;&gt;"",),IF(OR(INDEX(IHZ_HAZ_TOTNETGROSS,69,1)="",INDEX(IHZ_HAZ_TOTUNIT,69,1)="",),FALSE,TRUE),TRUE)</f>
        <v>1</v>
      </c>
      <c r="H326" s="52" t="str">
        <f t="shared" si="11"/>
        <v xml:space="preserve">Row 69 - If ‘Total amount’ is given, then ‘Net / Gross’ and ‘Total amount unit’ are required </v>
      </c>
      <c r="I326" s="236" t="s">
        <v>1853</v>
      </c>
      <c r="J326" s="52" t="b">
        <f>IF(OR(INDEX(OHZ_HAZ_TOTAMOUNT,69,1)&lt;&gt;"",),IF(OR(INDEX(OHZ_HAZ_TOTNETGROSS,69,1)="",INDEX(OHZ_HAZ_TOTUNIT,69,1)="",),FALSE,TRUE),TRUE)</f>
        <v>1</v>
      </c>
      <c r="K326" s="52" t="str">
        <f t="shared" si="12"/>
        <v xml:space="preserve">Row 69 - If ‘Total amount’ is given, then ‘Net / Gross’ and ‘Total amount unit’ are required </v>
      </c>
      <c r="L326" s="236" t="s">
        <v>1853</v>
      </c>
    </row>
    <row r="327" spans="6:12">
      <c r="F327" s="236" t="s">
        <v>1853</v>
      </c>
      <c r="G327" s="250" t="b">
        <f>IF(OR(INDEX(IHZ_HAZ_TOTAMOUNT,70,1)&lt;&gt;"",),IF(OR(INDEX(IHZ_HAZ_TOTNETGROSS,70,1)="",INDEX(IHZ_HAZ_TOTUNIT,70,1)="",),FALSE,TRUE),TRUE)</f>
        <v>1</v>
      </c>
      <c r="H327" s="52" t="str">
        <f t="shared" si="11"/>
        <v xml:space="preserve">Row 70 - If ‘Total amount’ is given, then ‘Net / Gross’ and ‘Total amount unit’ are required </v>
      </c>
      <c r="I327" s="236" t="s">
        <v>1853</v>
      </c>
      <c r="J327" s="52" t="b">
        <f>IF(OR(INDEX(OHZ_HAZ_TOTAMOUNT,70,1)&lt;&gt;"",),IF(OR(INDEX(OHZ_HAZ_TOTNETGROSS,70,1)="",INDEX(OHZ_HAZ_TOTUNIT,70,1)="",),FALSE,TRUE),TRUE)</f>
        <v>1</v>
      </c>
      <c r="K327" s="52" t="str">
        <f t="shared" si="12"/>
        <v xml:space="preserve">Row 70 - If ‘Total amount’ is given, then ‘Net / Gross’ and ‘Total amount unit’ are required </v>
      </c>
      <c r="L327" s="236" t="s">
        <v>1853</v>
      </c>
    </row>
    <row r="328" spans="6:12">
      <c r="F328" s="236" t="s">
        <v>1853</v>
      </c>
      <c r="G328" s="250" t="b">
        <f>IF(OR(INDEX(IHZ_HAZ_TOTAMOUNT,71,1)&lt;&gt;"",),IF(OR(INDEX(IHZ_HAZ_TOTNETGROSS,71,1)="",INDEX(IHZ_HAZ_TOTUNIT,71,1)="",),FALSE,TRUE),TRUE)</f>
        <v>1</v>
      </c>
      <c r="H328" s="52" t="str">
        <f t="shared" si="11"/>
        <v xml:space="preserve">Row 71 - If ‘Total amount’ is given, then ‘Net / Gross’ and ‘Total amount unit’ are required </v>
      </c>
      <c r="I328" s="236" t="s">
        <v>1853</v>
      </c>
      <c r="J328" s="52" t="b">
        <f>IF(OR(INDEX(OHZ_HAZ_TOTAMOUNT,71,1)&lt;&gt;"",),IF(OR(INDEX(OHZ_HAZ_TOTNETGROSS,71,1)="",INDEX(OHZ_HAZ_TOTUNIT,71,1)="",),FALSE,TRUE),TRUE)</f>
        <v>1</v>
      </c>
      <c r="K328" s="52" t="str">
        <f t="shared" si="12"/>
        <v xml:space="preserve">Row 71 - If ‘Total amount’ is given, then ‘Net / Gross’ and ‘Total amount unit’ are required </v>
      </c>
      <c r="L328" s="236" t="s">
        <v>1853</v>
      </c>
    </row>
    <row r="329" spans="6:12">
      <c r="F329" s="236" t="s">
        <v>1853</v>
      </c>
      <c r="G329" s="250" t="b">
        <f>IF(OR(INDEX(IHZ_HAZ_TOTAMOUNT,72,1)&lt;&gt;"",),IF(OR(INDEX(IHZ_HAZ_TOTNETGROSS,72,1)="",INDEX(IHZ_HAZ_TOTUNIT,72,1)="",),FALSE,TRUE),TRUE)</f>
        <v>1</v>
      </c>
      <c r="H329" s="52" t="str">
        <f t="shared" si="11"/>
        <v xml:space="preserve">Row 72 - If ‘Total amount’ is given, then ‘Net / Gross’ and ‘Total amount unit’ are required </v>
      </c>
      <c r="I329" s="236" t="s">
        <v>1853</v>
      </c>
      <c r="J329" s="52" t="b">
        <f>IF(OR(INDEX(OHZ_HAZ_TOTAMOUNT,72,1)&lt;&gt;"",),IF(OR(INDEX(OHZ_HAZ_TOTNETGROSS,72,1)="",INDEX(OHZ_HAZ_TOTUNIT,72,1)="",),FALSE,TRUE),TRUE)</f>
        <v>1</v>
      </c>
      <c r="K329" s="52" t="str">
        <f t="shared" si="12"/>
        <v xml:space="preserve">Row 72 - If ‘Total amount’ is given, then ‘Net / Gross’ and ‘Total amount unit’ are required </v>
      </c>
      <c r="L329" s="236" t="s">
        <v>1853</v>
      </c>
    </row>
    <row r="330" spans="6:12">
      <c r="F330" s="236" t="s">
        <v>1853</v>
      </c>
      <c r="G330" s="250" t="b">
        <f>IF(OR(INDEX(IHZ_HAZ_TOTAMOUNT,73,1)&lt;&gt;"",),IF(OR(INDEX(IHZ_HAZ_TOTNETGROSS,73,1)="",INDEX(IHZ_HAZ_TOTUNIT,73,1)="",),FALSE,TRUE),TRUE)</f>
        <v>1</v>
      </c>
      <c r="H330" s="52" t="str">
        <f t="shared" si="11"/>
        <v xml:space="preserve">Row 73 - If ‘Total amount’ is given, then ‘Net / Gross’ and ‘Total amount unit’ are required </v>
      </c>
      <c r="I330" s="236" t="s">
        <v>1853</v>
      </c>
      <c r="J330" s="52" t="b">
        <f>IF(OR(INDEX(OHZ_HAZ_TOTAMOUNT,73,1)&lt;&gt;"",),IF(OR(INDEX(OHZ_HAZ_TOTNETGROSS,73,1)="",INDEX(OHZ_HAZ_TOTUNIT,73,1)="",),FALSE,TRUE),TRUE)</f>
        <v>1</v>
      </c>
      <c r="K330" s="52" t="str">
        <f t="shared" si="12"/>
        <v xml:space="preserve">Row 73 - If ‘Total amount’ is given, then ‘Net / Gross’ and ‘Total amount unit’ are required </v>
      </c>
      <c r="L330" s="236" t="s">
        <v>1853</v>
      </c>
    </row>
    <row r="331" spans="6:12">
      <c r="F331" s="236" t="s">
        <v>1853</v>
      </c>
      <c r="G331" s="250" t="b">
        <f>IF(OR(INDEX(IHZ_HAZ_TOTAMOUNT,74,1)&lt;&gt;"",),IF(OR(INDEX(IHZ_HAZ_TOTNETGROSS,74,1)="",INDEX(IHZ_HAZ_TOTUNIT,74,1)="",),FALSE,TRUE),TRUE)</f>
        <v>1</v>
      </c>
      <c r="H331" s="52" t="str">
        <f t="shared" si="11"/>
        <v xml:space="preserve">Row 74 - If ‘Total amount’ is given, then ‘Net / Gross’ and ‘Total amount unit’ are required </v>
      </c>
      <c r="I331" s="236" t="s">
        <v>1853</v>
      </c>
      <c r="J331" s="52" t="b">
        <f>IF(OR(INDEX(OHZ_HAZ_TOTAMOUNT,74,1)&lt;&gt;"",),IF(OR(INDEX(OHZ_HAZ_TOTNETGROSS,74,1)="",INDEX(OHZ_HAZ_TOTUNIT,74,1)="",),FALSE,TRUE),TRUE)</f>
        <v>1</v>
      </c>
      <c r="K331" s="52" t="str">
        <f t="shared" si="12"/>
        <v xml:space="preserve">Row 74 - If ‘Total amount’ is given, then ‘Net / Gross’ and ‘Total amount unit’ are required </v>
      </c>
      <c r="L331" s="236" t="s">
        <v>1853</v>
      </c>
    </row>
    <row r="332" spans="6:12">
      <c r="F332" s="236" t="s">
        <v>1853</v>
      </c>
      <c r="G332" s="250" t="b">
        <f>IF(OR(INDEX(IHZ_HAZ_TOTAMOUNT,75,1)&lt;&gt;"",),IF(OR(INDEX(IHZ_HAZ_TOTNETGROSS,75,1)="",INDEX(IHZ_HAZ_TOTUNIT,75,1)="",),FALSE,TRUE),TRUE)</f>
        <v>1</v>
      </c>
      <c r="H332" s="52" t="str">
        <f t="shared" si="11"/>
        <v xml:space="preserve">Row 75 - If ‘Total amount’ is given, then ‘Net / Gross’ and ‘Total amount unit’ are required </v>
      </c>
      <c r="I332" s="236" t="s">
        <v>1853</v>
      </c>
      <c r="J332" s="52" t="b">
        <f>IF(OR(INDEX(OHZ_HAZ_TOTAMOUNT,75,1)&lt;&gt;"",),IF(OR(INDEX(OHZ_HAZ_TOTNETGROSS,75,1)="",INDEX(OHZ_HAZ_TOTUNIT,75,1)="",),FALSE,TRUE),TRUE)</f>
        <v>1</v>
      </c>
      <c r="K332" s="52" t="str">
        <f t="shared" si="12"/>
        <v xml:space="preserve">Row 75 - If ‘Total amount’ is given, then ‘Net / Gross’ and ‘Total amount unit’ are required </v>
      </c>
      <c r="L332" s="236" t="s">
        <v>1853</v>
      </c>
    </row>
    <row r="333" spans="6:12">
      <c r="F333" s="236" t="s">
        <v>1853</v>
      </c>
      <c r="G333" s="250" t="b">
        <f>IF(OR(INDEX(IHZ_HAZ_TOTAMOUNT,76,1)&lt;&gt;"",),IF(OR(INDEX(IHZ_HAZ_TOTNETGROSS,76,1)="",INDEX(IHZ_HAZ_TOTUNIT,76,1)="",),FALSE,TRUE),TRUE)</f>
        <v>1</v>
      </c>
      <c r="H333" s="52" t="str">
        <f t="shared" si="11"/>
        <v xml:space="preserve">Row 76 - If ‘Total amount’ is given, then ‘Net / Gross’ and ‘Total amount unit’ are required </v>
      </c>
      <c r="I333" s="236" t="s">
        <v>1853</v>
      </c>
      <c r="J333" s="52" t="b">
        <f>IF(OR(INDEX(OHZ_HAZ_TOTAMOUNT,76,1)&lt;&gt;"",),IF(OR(INDEX(OHZ_HAZ_TOTNETGROSS,76,1)="",INDEX(OHZ_HAZ_TOTUNIT,76,1)="",),FALSE,TRUE),TRUE)</f>
        <v>1</v>
      </c>
      <c r="K333" s="52" t="str">
        <f t="shared" si="12"/>
        <v xml:space="preserve">Row 76 - If ‘Total amount’ is given, then ‘Net / Gross’ and ‘Total amount unit’ are required </v>
      </c>
      <c r="L333" s="236" t="s">
        <v>1853</v>
      </c>
    </row>
    <row r="334" spans="6:12">
      <c r="F334" s="236" t="s">
        <v>1853</v>
      </c>
      <c r="G334" s="250" t="b">
        <f>IF(OR(INDEX(IHZ_HAZ_TOTAMOUNT,77,1)&lt;&gt;"",),IF(OR(INDEX(IHZ_HAZ_TOTNETGROSS,77,1)="",INDEX(IHZ_HAZ_TOTUNIT,77,1)="",),FALSE,TRUE),TRUE)</f>
        <v>1</v>
      </c>
      <c r="H334" s="52" t="str">
        <f t="shared" si="11"/>
        <v xml:space="preserve">Row 77 - If ‘Total amount’ is given, then ‘Net / Gross’ and ‘Total amount unit’ are required </v>
      </c>
      <c r="I334" s="236" t="s">
        <v>1853</v>
      </c>
      <c r="J334" s="52" t="b">
        <f>IF(OR(INDEX(OHZ_HAZ_TOTAMOUNT,77,1)&lt;&gt;"",),IF(OR(INDEX(OHZ_HAZ_TOTNETGROSS,77,1)="",INDEX(OHZ_HAZ_TOTUNIT,77,1)="",),FALSE,TRUE),TRUE)</f>
        <v>1</v>
      </c>
      <c r="K334" s="52" t="str">
        <f t="shared" si="12"/>
        <v xml:space="preserve">Row 77 - If ‘Total amount’ is given, then ‘Net / Gross’ and ‘Total amount unit’ are required </v>
      </c>
      <c r="L334" s="236" t="s">
        <v>1853</v>
      </c>
    </row>
    <row r="335" spans="6:12">
      <c r="F335" s="236" t="s">
        <v>1853</v>
      </c>
      <c r="G335" s="250" t="b">
        <f>IF(OR(INDEX(IHZ_HAZ_TOTAMOUNT,78,1)&lt;&gt;"",),IF(OR(INDEX(IHZ_HAZ_TOTNETGROSS,78,1)="",INDEX(IHZ_HAZ_TOTUNIT,78,1)="",),FALSE,TRUE),TRUE)</f>
        <v>1</v>
      </c>
      <c r="H335" s="52" t="str">
        <f t="shared" si="11"/>
        <v xml:space="preserve">Row 78 - If ‘Total amount’ is given, then ‘Net / Gross’ and ‘Total amount unit’ are required </v>
      </c>
      <c r="I335" s="236" t="s">
        <v>1853</v>
      </c>
      <c r="J335" s="52" t="b">
        <f>IF(OR(INDEX(OHZ_HAZ_TOTAMOUNT,78,1)&lt;&gt;"",),IF(OR(INDEX(OHZ_HAZ_TOTNETGROSS,78,1)="",INDEX(OHZ_HAZ_TOTUNIT,78,1)="",),FALSE,TRUE),TRUE)</f>
        <v>1</v>
      </c>
      <c r="K335" s="52" t="str">
        <f t="shared" si="12"/>
        <v xml:space="preserve">Row 78 - If ‘Total amount’ is given, then ‘Net / Gross’ and ‘Total amount unit’ are required </v>
      </c>
      <c r="L335" s="236" t="s">
        <v>1853</v>
      </c>
    </row>
    <row r="336" spans="6:12">
      <c r="F336" s="236" t="s">
        <v>1853</v>
      </c>
      <c r="G336" s="250" t="b">
        <f>IF(OR(INDEX(IHZ_HAZ_TOTAMOUNT,79,1)&lt;&gt;"",),IF(OR(INDEX(IHZ_HAZ_TOTNETGROSS,79,1)="",INDEX(IHZ_HAZ_TOTUNIT,79,1)="",),FALSE,TRUE),TRUE)</f>
        <v>1</v>
      </c>
      <c r="H336" s="52" t="str">
        <f t="shared" si="11"/>
        <v xml:space="preserve">Row 79 - If ‘Total amount’ is given, then ‘Net / Gross’ and ‘Total amount unit’ are required </v>
      </c>
      <c r="I336" s="236" t="s">
        <v>1853</v>
      </c>
      <c r="J336" s="52" t="b">
        <f>IF(OR(INDEX(OHZ_HAZ_TOTAMOUNT,79,1)&lt;&gt;"",),IF(OR(INDEX(OHZ_HAZ_TOTNETGROSS,79,1)="",INDEX(OHZ_HAZ_TOTUNIT,79,1)="",),FALSE,TRUE),TRUE)</f>
        <v>1</v>
      </c>
      <c r="K336" s="52" t="str">
        <f t="shared" si="12"/>
        <v xml:space="preserve">Row 79 - If ‘Total amount’ is given, then ‘Net / Gross’ and ‘Total amount unit’ are required </v>
      </c>
      <c r="L336" s="236" t="s">
        <v>1853</v>
      </c>
    </row>
    <row r="337" spans="6:12">
      <c r="F337" s="236" t="s">
        <v>1853</v>
      </c>
      <c r="G337" s="250" t="b">
        <f>IF(OR(INDEX(IHZ_HAZ_TOTAMOUNT,80,1)&lt;&gt;"",),IF(OR(INDEX(IHZ_HAZ_TOTNETGROSS,80,1)="",INDEX(IHZ_HAZ_TOTUNIT,80,1)="",),FALSE,TRUE),TRUE)</f>
        <v>1</v>
      </c>
      <c r="H337" s="52" t="str">
        <f t="shared" si="11"/>
        <v xml:space="preserve">Row 80 - If ‘Total amount’ is given, then ‘Net / Gross’ and ‘Total amount unit’ are required </v>
      </c>
      <c r="I337" s="236" t="s">
        <v>1853</v>
      </c>
      <c r="J337" s="52" t="b">
        <f>IF(OR(INDEX(OHZ_HAZ_TOTAMOUNT,80,1)&lt;&gt;"",),IF(OR(INDEX(OHZ_HAZ_TOTNETGROSS,80,1)="",INDEX(OHZ_HAZ_TOTUNIT,80,1)="",),FALSE,TRUE),TRUE)</f>
        <v>1</v>
      </c>
      <c r="K337" s="52" t="str">
        <f t="shared" si="12"/>
        <v xml:space="preserve">Row 80 - If ‘Total amount’ is given, then ‘Net / Gross’ and ‘Total amount unit’ are required </v>
      </c>
      <c r="L337" s="236" t="s">
        <v>1853</v>
      </c>
    </row>
    <row r="338" spans="6:12">
      <c r="F338" s="236" t="s">
        <v>1853</v>
      </c>
      <c r="G338" s="250" t="b">
        <f>IF(OR(INDEX(IHZ_HAZ_TOTAMOUNT,81,1)&lt;&gt;"",),IF(OR(INDEX(IHZ_HAZ_TOTNETGROSS,81,1)="",INDEX(IHZ_HAZ_TOTUNIT,81,1)="",),FALSE,TRUE),TRUE)</f>
        <v>1</v>
      </c>
      <c r="H338" s="52" t="str">
        <f t="shared" si="11"/>
        <v xml:space="preserve">Row 81 - If ‘Total amount’ is given, then ‘Net / Gross’ and ‘Total amount unit’ are required </v>
      </c>
      <c r="I338" s="236" t="s">
        <v>1853</v>
      </c>
      <c r="J338" s="52" t="b">
        <f>IF(OR(INDEX(OHZ_HAZ_TOTAMOUNT,81,1)&lt;&gt;"",),IF(OR(INDEX(OHZ_HAZ_TOTNETGROSS,81,1)="",INDEX(OHZ_HAZ_TOTUNIT,81,1)="",),FALSE,TRUE),TRUE)</f>
        <v>1</v>
      </c>
      <c r="K338" s="52" t="str">
        <f t="shared" si="12"/>
        <v xml:space="preserve">Row 81 - If ‘Total amount’ is given, then ‘Net / Gross’ and ‘Total amount unit’ are required </v>
      </c>
      <c r="L338" s="236" t="s">
        <v>1853</v>
      </c>
    </row>
    <row r="339" spans="6:12">
      <c r="F339" s="236" t="s">
        <v>1853</v>
      </c>
      <c r="G339" s="250" t="b">
        <f>IF(OR(INDEX(IHZ_HAZ_TOTAMOUNT,82,1)&lt;&gt;"",),IF(OR(INDEX(IHZ_HAZ_TOTNETGROSS,82,1)="",INDEX(IHZ_HAZ_TOTUNIT,82,1)="",),FALSE,TRUE),TRUE)</f>
        <v>1</v>
      </c>
      <c r="H339" s="52" t="str">
        <f t="shared" si="11"/>
        <v xml:space="preserve">Row 82 - If ‘Total amount’ is given, then ‘Net / Gross’ and ‘Total amount unit’ are required </v>
      </c>
      <c r="I339" s="236" t="s">
        <v>1853</v>
      </c>
      <c r="J339" s="52" t="b">
        <f>IF(OR(INDEX(OHZ_HAZ_TOTAMOUNT,82,1)&lt;&gt;"",),IF(OR(INDEX(OHZ_HAZ_TOTNETGROSS,82,1)="",INDEX(OHZ_HAZ_TOTUNIT,82,1)="",),FALSE,TRUE),TRUE)</f>
        <v>1</v>
      </c>
      <c r="K339" s="52" t="str">
        <f t="shared" si="12"/>
        <v xml:space="preserve">Row 82 - If ‘Total amount’ is given, then ‘Net / Gross’ and ‘Total amount unit’ are required </v>
      </c>
      <c r="L339" s="236" t="s">
        <v>1853</v>
      </c>
    </row>
    <row r="340" spans="6:12">
      <c r="F340" s="236" t="s">
        <v>1853</v>
      </c>
      <c r="G340" s="250" t="b">
        <f>IF(OR(INDEX(IHZ_HAZ_TOTAMOUNT,83,1)&lt;&gt;"",),IF(OR(INDEX(IHZ_HAZ_TOTNETGROSS,83,1)="",INDEX(IHZ_HAZ_TOTUNIT,83,1)="",),FALSE,TRUE),TRUE)</f>
        <v>1</v>
      </c>
      <c r="H340" s="52" t="str">
        <f t="shared" si="11"/>
        <v xml:space="preserve">Row 83 - If ‘Total amount’ is given, then ‘Net / Gross’ and ‘Total amount unit’ are required </v>
      </c>
      <c r="I340" s="236" t="s">
        <v>1853</v>
      </c>
      <c r="J340" s="52" t="b">
        <f>IF(OR(INDEX(OHZ_HAZ_TOTAMOUNT,83,1)&lt;&gt;"",),IF(OR(INDEX(OHZ_HAZ_TOTNETGROSS,83,1)="",INDEX(OHZ_HAZ_TOTUNIT,83,1)="",),FALSE,TRUE),TRUE)</f>
        <v>1</v>
      </c>
      <c r="K340" s="52" t="str">
        <f t="shared" si="12"/>
        <v xml:space="preserve">Row 83 - If ‘Total amount’ is given, then ‘Net / Gross’ and ‘Total amount unit’ are required </v>
      </c>
      <c r="L340" s="236" t="s">
        <v>1853</v>
      </c>
    </row>
    <row r="341" spans="6:12">
      <c r="F341" s="236" t="s">
        <v>1853</v>
      </c>
      <c r="G341" s="250" t="b">
        <f>IF(OR(INDEX(IHZ_HAZ_TOTAMOUNT,84,1)&lt;&gt;"",),IF(OR(INDEX(IHZ_HAZ_TOTNETGROSS,84,1)="",INDEX(IHZ_HAZ_TOTUNIT,84,1)="",),FALSE,TRUE),TRUE)</f>
        <v>1</v>
      </c>
      <c r="H341" s="52" t="str">
        <f t="shared" si="11"/>
        <v xml:space="preserve">Row 84 - If ‘Total amount’ is given, then ‘Net / Gross’ and ‘Total amount unit’ are required </v>
      </c>
      <c r="I341" s="236" t="s">
        <v>1853</v>
      </c>
      <c r="J341" s="52" t="b">
        <f>IF(OR(INDEX(OHZ_HAZ_TOTAMOUNT,84,1)&lt;&gt;"",),IF(OR(INDEX(OHZ_HAZ_TOTNETGROSS,84,1)="",INDEX(OHZ_HAZ_TOTUNIT,84,1)="",),FALSE,TRUE),TRUE)</f>
        <v>1</v>
      </c>
      <c r="K341" s="52" t="str">
        <f t="shared" si="12"/>
        <v xml:space="preserve">Row 84 - If ‘Total amount’ is given, then ‘Net / Gross’ and ‘Total amount unit’ are required </v>
      </c>
      <c r="L341" s="236" t="s">
        <v>1853</v>
      </c>
    </row>
    <row r="342" spans="6:12">
      <c r="F342" s="236" t="s">
        <v>1853</v>
      </c>
      <c r="G342" s="250" t="b">
        <f>IF(OR(INDEX(IHZ_HAZ_TOTAMOUNT,85,1)&lt;&gt;"",),IF(OR(INDEX(IHZ_HAZ_TOTNETGROSS,85,1)="",INDEX(IHZ_HAZ_TOTUNIT,85,1)="",),FALSE,TRUE),TRUE)</f>
        <v>1</v>
      </c>
      <c r="H342" s="52" t="str">
        <f t="shared" si="11"/>
        <v xml:space="preserve">Row 85 - If ‘Total amount’ is given, then ‘Net / Gross’ and ‘Total amount unit’ are required </v>
      </c>
      <c r="I342" s="236" t="s">
        <v>1853</v>
      </c>
      <c r="J342" s="52" t="b">
        <f>IF(OR(INDEX(OHZ_HAZ_TOTAMOUNT,85,1)&lt;&gt;"",),IF(OR(INDEX(OHZ_HAZ_TOTNETGROSS,85,1)="",INDEX(OHZ_HAZ_TOTUNIT,85,1)="",),FALSE,TRUE),TRUE)</f>
        <v>1</v>
      </c>
      <c r="K342" s="52" t="str">
        <f t="shared" si="12"/>
        <v xml:space="preserve">Row 85 - If ‘Total amount’ is given, then ‘Net / Gross’ and ‘Total amount unit’ are required </v>
      </c>
      <c r="L342" s="236" t="s">
        <v>1853</v>
      </c>
    </row>
    <row r="343" spans="6:12">
      <c r="F343" s="236" t="s">
        <v>1853</v>
      </c>
      <c r="G343" s="250" t="b">
        <f>IF(OR(INDEX(IHZ_HAZ_TOTAMOUNT,86,1)&lt;&gt;"",),IF(OR(INDEX(IHZ_HAZ_TOTNETGROSS,86,1)="",INDEX(IHZ_HAZ_TOTUNIT,86,1)="",),FALSE,TRUE),TRUE)</f>
        <v>1</v>
      </c>
      <c r="H343" s="52" t="str">
        <f t="shared" si="11"/>
        <v xml:space="preserve">Row 86 - If ‘Total amount’ is given, then ‘Net / Gross’ and ‘Total amount unit’ are required </v>
      </c>
      <c r="I343" s="236" t="s">
        <v>1853</v>
      </c>
      <c r="J343" s="52" t="b">
        <f>IF(OR(INDEX(OHZ_HAZ_TOTAMOUNT,86,1)&lt;&gt;"",),IF(OR(INDEX(OHZ_HAZ_TOTNETGROSS,86,1)="",INDEX(OHZ_HAZ_TOTUNIT,86,1)="",),FALSE,TRUE),TRUE)</f>
        <v>1</v>
      </c>
      <c r="K343" s="52" t="str">
        <f t="shared" si="12"/>
        <v xml:space="preserve">Row 86 - If ‘Total amount’ is given, then ‘Net / Gross’ and ‘Total amount unit’ are required </v>
      </c>
      <c r="L343" s="236" t="s">
        <v>1853</v>
      </c>
    </row>
    <row r="344" spans="6:12">
      <c r="F344" s="236" t="s">
        <v>1853</v>
      </c>
      <c r="G344" s="250" t="b">
        <f>IF(OR(INDEX(IHZ_HAZ_TOTAMOUNT,87,1)&lt;&gt;"",),IF(OR(INDEX(IHZ_HAZ_TOTNETGROSS,87,1)="",INDEX(IHZ_HAZ_TOTUNIT,87,1)="",),FALSE,TRUE),TRUE)</f>
        <v>1</v>
      </c>
      <c r="H344" s="52" t="str">
        <f t="shared" si="11"/>
        <v xml:space="preserve">Row 87 - If ‘Total amount’ is given, then ‘Net / Gross’ and ‘Total amount unit’ are required </v>
      </c>
      <c r="I344" s="236" t="s">
        <v>1853</v>
      </c>
      <c r="J344" s="52" t="b">
        <f>IF(OR(INDEX(OHZ_HAZ_TOTAMOUNT,87,1)&lt;&gt;"",),IF(OR(INDEX(OHZ_HAZ_TOTNETGROSS,87,1)="",INDEX(OHZ_HAZ_TOTUNIT,87,1)="",),FALSE,TRUE),TRUE)</f>
        <v>1</v>
      </c>
      <c r="K344" s="52" t="str">
        <f t="shared" si="12"/>
        <v xml:space="preserve">Row 87 - If ‘Total amount’ is given, then ‘Net / Gross’ and ‘Total amount unit’ are required </v>
      </c>
      <c r="L344" s="236" t="s">
        <v>1853</v>
      </c>
    </row>
    <row r="345" spans="6:12">
      <c r="F345" s="236" t="s">
        <v>1853</v>
      </c>
      <c r="G345" s="250" t="b">
        <f>IF(OR(INDEX(IHZ_HAZ_TOTAMOUNT,88,1)&lt;&gt;"",),IF(OR(INDEX(IHZ_HAZ_TOTNETGROSS,88,1)="",INDEX(IHZ_HAZ_TOTUNIT,88,1)="",),FALSE,TRUE),TRUE)</f>
        <v>1</v>
      </c>
      <c r="H345" s="52" t="str">
        <f t="shared" si="11"/>
        <v xml:space="preserve">Row 88 - If ‘Total amount’ is given, then ‘Net / Gross’ and ‘Total amount unit’ are required </v>
      </c>
      <c r="I345" s="236" t="s">
        <v>1853</v>
      </c>
      <c r="J345" s="52" t="b">
        <f>IF(OR(INDEX(OHZ_HAZ_TOTAMOUNT,88,1)&lt;&gt;"",),IF(OR(INDEX(OHZ_HAZ_TOTNETGROSS,88,1)="",INDEX(OHZ_HAZ_TOTUNIT,88,1)="",),FALSE,TRUE),TRUE)</f>
        <v>1</v>
      </c>
      <c r="K345" s="52" t="str">
        <f t="shared" si="12"/>
        <v xml:space="preserve">Row 88 - If ‘Total amount’ is given, then ‘Net / Gross’ and ‘Total amount unit’ are required </v>
      </c>
      <c r="L345" s="236" t="s">
        <v>1853</v>
      </c>
    </row>
    <row r="346" spans="6:12">
      <c r="F346" s="236" t="s">
        <v>1853</v>
      </c>
      <c r="G346" s="250" t="b">
        <f>IF(OR(INDEX(IHZ_HAZ_TOTAMOUNT,89,1)&lt;&gt;"",),IF(OR(INDEX(IHZ_HAZ_TOTNETGROSS,89,1)="",INDEX(IHZ_HAZ_TOTUNIT,89,1)="",),FALSE,TRUE),TRUE)</f>
        <v>1</v>
      </c>
      <c r="H346" s="52" t="str">
        <f t="shared" si="11"/>
        <v xml:space="preserve">Row 89 - If ‘Total amount’ is given, then ‘Net / Gross’ and ‘Total amount unit’ are required </v>
      </c>
      <c r="I346" s="236" t="s">
        <v>1853</v>
      </c>
      <c r="J346" s="52" t="b">
        <f>IF(OR(INDEX(OHZ_HAZ_TOTAMOUNT,89,1)&lt;&gt;"",),IF(OR(INDEX(OHZ_HAZ_TOTNETGROSS,89,1)="",INDEX(OHZ_HAZ_TOTUNIT,89,1)="",),FALSE,TRUE),TRUE)</f>
        <v>1</v>
      </c>
      <c r="K346" s="52" t="str">
        <f t="shared" si="12"/>
        <v xml:space="preserve">Row 89 - If ‘Total amount’ is given, then ‘Net / Gross’ and ‘Total amount unit’ are required </v>
      </c>
      <c r="L346" s="236" t="s">
        <v>1853</v>
      </c>
    </row>
    <row r="347" spans="6:12">
      <c r="F347" s="236" t="s">
        <v>1853</v>
      </c>
      <c r="G347" s="250" t="b">
        <f>IF(OR(INDEX(IHZ_HAZ_TOTAMOUNT,90,1)&lt;&gt;"",),IF(OR(INDEX(IHZ_HAZ_TOTNETGROSS,90,1)="",INDEX(IHZ_HAZ_TOTUNIT,90,1)="",),FALSE,TRUE),TRUE)</f>
        <v>1</v>
      </c>
      <c r="H347" s="52" t="str">
        <f t="shared" si="11"/>
        <v xml:space="preserve">Row 90 - If ‘Total amount’ is given, then ‘Net / Gross’ and ‘Total amount unit’ are required </v>
      </c>
      <c r="I347" s="236" t="s">
        <v>1853</v>
      </c>
      <c r="J347" s="52" t="b">
        <f>IF(OR(INDEX(OHZ_HAZ_TOTAMOUNT,90,1)&lt;&gt;"",),IF(OR(INDEX(OHZ_HAZ_TOTNETGROSS,90,1)="",INDEX(OHZ_HAZ_TOTUNIT,90,1)="",),FALSE,TRUE),TRUE)</f>
        <v>1</v>
      </c>
      <c r="K347" s="52" t="str">
        <f t="shared" si="12"/>
        <v xml:space="preserve">Row 90 - If ‘Total amount’ is given, then ‘Net / Gross’ and ‘Total amount unit’ are required </v>
      </c>
      <c r="L347" s="236" t="s">
        <v>1853</v>
      </c>
    </row>
    <row r="348" spans="6:12">
      <c r="F348" s="236" t="s">
        <v>1853</v>
      </c>
      <c r="G348" s="250" t="b">
        <f>IF(OR(INDEX(IHZ_HAZ_TOTAMOUNT,91,1)&lt;&gt;"",),IF(OR(INDEX(IHZ_HAZ_TOTNETGROSS,91,1)="",INDEX(IHZ_HAZ_TOTUNIT,91,1)="",),FALSE,TRUE),TRUE)</f>
        <v>1</v>
      </c>
      <c r="H348" s="52" t="str">
        <f t="shared" si="11"/>
        <v xml:space="preserve">Row 91 - If ‘Total amount’ is given, then ‘Net / Gross’ and ‘Total amount unit’ are required </v>
      </c>
      <c r="I348" s="236" t="s">
        <v>1853</v>
      </c>
      <c r="J348" s="52" t="b">
        <f>IF(OR(INDEX(OHZ_HAZ_TOTAMOUNT,91,1)&lt;&gt;"",),IF(OR(INDEX(OHZ_HAZ_TOTNETGROSS,91,1)="",INDEX(OHZ_HAZ_TOTUNIT,91,1)="",),FALSE,TRUE),TRUE)</f>
        <v>1</v>
      </c>
      <c r="K348" s="52" t="str">
        <f t="shared" si="12"/>
        <v xml:space="preserve">Row 91 - If ‘Total amount’ is given, then ‘Net / Gross’ and ‘Total amount unit’ are required </v>
      </c>
      <c r="L348" s="236" t="s">
        <v>1853</v>
      </c>
    </row>
    <row r="349" spans="6:12">
      <c r="F349" s="236" t="s">
        <v>1853</v>
      </c>
      <c r="G349" s="250" t="b">
        <f>IF(OR(INDEX(IHZ_HAZ_TOTAMOUNT,92,1)&lt;&gt;"",),IF(OR(INDEX(IHZ_HAZ_TOTNETGROSS,92,1)="",INDEX(IHZ_HAZ_TOTUNIT,92,1)="",),FALSE,TRUE),TRUE)</f>
        <v>1</v>
      </c>
      <c r="H349" s="52" t="str">
        <f t="shared" si="11"/>
        <v xml:space="preserve">Row 92 - If ‘Total amount’ is given, then ‘Net / Gross’ and ‘Total amount unit’ are required </v>
      </c>
      <c r="I349" s="236" t="s">
        <v>1853</v>
      </c>
      <c r="J349" s="52" t="b">
        <f>IF(OR(INDEX(OHZ_HAZ_TOTAMOUNT,92,1)&lt;&gt;"",),IF(OR(INDEX(OHZ_HAZ_TOTNETGROSS,92,1)="",INDEX(OHZ_HAZ_TOTUNIT,92,1)="",),FALSE,TRUE),TRUE)</f>
        <v>1</v>
      </c>
      <c r="K349" s="52" t="str">
        <f t="shared" si="12"/>
        <v xml:space="preserve">Row 92 - If ‘Total amount’ is given, then ‘Net / Gross’ and ‘Total amount unit’ are required </v>
      </c>
      <c r="L349" s="236" t="s">
        <v>1853</v>
      </c>
    </row>
    <row r="350" spans="6:12">
      <c r="F350" s="236" t="s">
        <v>1853</v>
      </c>
      <c r="G350" s="250" t="b">
        <f>IF(OR(INDEX(IHZ_HAZ_TOTAMOUNT,93,1)&lt;&gt;"",),IF(OR(INDEX(IHZ_HAZ_TOTNETGROSS,93,1)="",INDEX(IHZ_HAZ_TOTUNIT,93,1)="",),FALSE,TRUE),TRUE)</f>
        <v>1</v>
      </c>
      <c r="H350" s="52" t="str">
        <f t="shared" si="11"/>
        <v xml:space="preserve">Row 93 - If ‘Total amount’ is given, then ‘Net / Gross’ and ‘Total amount unit’ are required </v>
      </c>
      <c r="I350" s="236" t="s">
        <v>1853</v>
      </c>
      <c r="J350" s="52" t="b">
        <f>IF(OR(INDEX(OHZ_HAZ_TOTAMOUNT,93,1)&lt;&gt;"",),IF(OR(INDEX(OHZ_HAZ_TOTNETGROSS,93,1)="",INDEX(OHZ_HAZ_TOTUNIT,93,1)="",),FALSE,TRUE),TRUE)</f>
        <v>1</v>
      </c>
      <c r="K350" s="52" t="str">
        <f t="shared" si="12"/>
        <v xml:space="preserve">Row 93 - If ‘Total amount’ is given, then ‘Net / Gross’ and ‘Total amount unit’ are required </v>
      </c>
      <c r="L350" s="236" t="s">
        <v>1853</v>
      </c>
    </row>
    <row r="351" spans="6:12">
      <c r="F351" s="236" t="s">
        <v>1853</v>
      </c>
      <c r="G351" s="250" t="b">
        <f>IF(OR(INDEX(IHZ_HAZ_TOTAMOUNT,94,1)&lt;&gt;"",),IF(OR(INDEX(IHZ_HAZ_TOTNETGROSS,94,1)="",INDEX(IHZ_HAZ_TOTUNIT,94,1)="",),FALSE,TRUE),TRUE)</f>
        <v>1</v>
      </c>
      <c r="H351" s="52" t="str">
        <f t="shared" si="11"/>
        <v xml:space="preserve">Row 94 - If ‘Total amount’ is given, then ‘Net / Gross’ and ‘Total amount unit’ are required </v>
      </c>
      <c r="I351" s="236" t="s">
        <v>1853</v>
      </c>
      <c r="J351" s="52" t="b">
        <f>IF(OR(INDEX(OHZ_HAZ_TOTAMOUNT,94,1)&lt;&gt;"",),IF(OR(INDEX(OHZ_HAZ_TOTNETGROSS,94,1)="",INDEX(OHZ_HAZ_TOTUNIT,94,1)="",),FALSE,TRUE),TRUE)</f>
        <v>1</v>
      </c>
      <c r="K351" s="52" t="str">
        <f t="shared" si="12"/>
        <v xml:space="preserve">Row 94 - If ‘Total amount’ is given, then ‘Net / Gross’ and ‘Total amount unit’ are required </v>
      </c>
      <c r="L351" s="236" t="s">
        <v>1853</v>
      </c>
    </row>
    <row r="352" spans="6:12">
      <c r="F352" s="236" t="s">
        <v>1853</v>
      </c>
      <c r="G352" s="250" t="b">
        <f>IF(OR(INDEX(IHZ_HAZ_TOTAMOUNT,95,1)&lt;&gt;"",),IF(OR(INDEX(IHZ_HAZ_TOTNETGROSS,95,1)="",INDEX(IHZ_HAZ_TOTUNIT,95,1)="",),FALSE,TRUE),TRUE)</f>
        <v>1</v>
      </c>
      <c r="H352" s="52" t="str">
        <f t="shared" si="11"/>
        <v xml:space="preserve">Row 95 - If ‘Total amount’ is given, then ‘Net / Gross’ and ‘Total amount unit’ are required </v>
      </c>
      <c r="I352" s="236" t="s">
        <v>1853</v>
      </c>
      <c r="J352" s="52" t="b">
        <f>IF(OR(INDEX(OHZ_HAZ_TOTAMOUNT,95,1)&lt;&gt;"",),IF(OR(INDEX(OHZ_HAZ_TOTNETGROSS,95,1)="",INDEX(OHZ_HAZ_TOTUNIT,95,1)="",),FALSE,TRUE),TRUE)</f>
        <v>1</v>
      </c>
      <c r="K352" s="52" t="str">
        <f t="shared" si="12"/>
        <v xml:space="preserve">Row 95 - If ‘Total amount’ is given, then ‘Net / Gross’ and ‘Total amount unit’ are required </v>
      </c>
      <c r="L352" s="236" t="s">
        <v>1853</v>
      </c>
    </row>
    <row r="353" spans="6:12">
      <c r="F353" s="236" t="s">
        <v>1853</v>
      </c>
      <c r="G353" s="250" t="b">
        <f>IF(OR(INDEX(IHZ_HAZ_TOTAMOUNT,96,1)&lt;&gt;"",),IF(OR(INDEX(IHZ_HAZ_TOTNETGROSS,96,1)="",INDEX(IHZ_HAZ_TOTUNIT,96,1)="",),FALSE,TRUE),TRUE)</f>
        <v>1</v>
      </c>
      <c r="H353" s="52" t="str">
        <f t="shared" si="11"/>
        <v xml:space="preserve">Row 96 - If ‘Total amount’ is given, then ‘Net / Gross’ and ‘Total amount unit’ are required </v>
      </c>
      <c r="I353" s="236" t="s">
        <v>1853</v>
      </c>
      <c r="J353" s="52" t="b">
        <f>IF(OR(INDEX(OHZ_HAZ_TOTAMOUNT,96,1)&lt;&gt;"",),IF(OR(INDEX(OHZ_HAZ_TOTNETGROSS,96,1)="",INDEX(OHZ_HAZ_TOTUNIT,96,1)="",),FALSE,TRUE),TRUE)</f>
        <v>1</v>
      </c>
      <c r="K353" s="52" t="str">
        <f t="shared" si="12"/>
        <v xml:space="preserve">Row 96 - If ‘Total amount’ is given, then ‘Net / Gross’ and ‘Total amount unit’ are required </v>
      </c>
      <c r="L353" s="236" t="s">
        <v>1853</v>
      </c>
    </row>
    <row r="354" spans="6:12">
      <c r="F354" s="236" t="s">
        <v>1853</v>
      </c>
      <c r="G354" s="250" t="b">
        <f>IF(OR(INDEX(IHZ_HAZ_TOTAMOUNT,97,1)&lt;&gt;"",),IF(OR(INDEX(IHZ_HAZ_TOTNETGROSS,97,1)="",INDEX(IHZ_HAZ_TOTUNIT,97,1)="",),FALSE,TRUE),TRUE)</f>
        <v>1</v>
      </c>
      <c r="H354" s="52" t="str">
        <f t="shared" si="11"/>
        <v xml:space="preserve">Row 97 - If ‘Total amount’ is given, then ‘Net / Gross’ and ‘Total amount unit’ are required </v>
      </c>
      <c r="I354" s="236" t="s">
        <v>1853</v>
      </c>
      <c r="J354" s="52" t="b">
        <f>IF(OR(INDEX(OHZ_HAZ_TOTAMOUNT,97,1)&lt;&gt;"",),IF(OR(INDEX(OHZ_HAZ_TOTNETGROSS,97,1)="",INDEX(OHZ_HAZ_TOTUNIT,97,1)="",),FALSE,TRUE),TRUE)</f>
        <v>1</v>
      </c>
      <c r="K354" s="52" t="str">
        <f t="shared" si="12"/>
        <v xml:space="preserve">Row 97 - If ‘Total amount’ is given, then ‘Net / Gross’ and ‘Total amount unit’ are required </v>
      </c>
      <c r="L354" s="236" t="s">
        <v>1853</v>
      </c>
    </row>
    <row r="355" spans="6:12">
      <c r="F355" s="236" t="s">
        <v>1853</v>
      </c>
      <c r="G355" s="250" t="b">
        <f>IF(OR(INDEX(IHZ_HAZ_TOTAMOUNT,98,1)&lt;&gt;"",),IF(OR(INDEX(IHZ_HAZ_TOTNETGROSS,98,1)="",INDEX(IHZ_HAZ_TOTUNIT,98,1)="",),FALSE,TRUE),TRUE)</f>
        <v>1</v>
      </c>
      <c r="H355" s="52" t="str">
        <f t="shared" si="11"/>
        <v xml:space="preserve">Row 98 - If ‘Total amount’ is given, then ‘Net / Gross’ and ‘Total amount unit’ are required </v>
      </c>
      <c r="I355" s="236" t="s">
        <v>1853</v>
      </c>
      <c r="J355" s="52" t="b">
        <f>IF(OR(INDEX(OHZ_HAZ_TOTAMOUNT,98,1)&lt;&gt;"",),IF(OR(INDEX(OHZ_HAZ_TOTNETGROSS,98,1)="",INDEX(OHZ_HAZ_TOTUNIT,98,1)="",),FALSE,TRUE),TRUE)</f>
        <v>1</v>
      </c>
      <c r="K355" s="52" t="str">
        <f t="shared" si="12"/>
        <v xml:space="preserve">Row 98 - If ‘Total amount’ is given, then ‘Net / Gross’ and ‘Total amount unit’ are required </v>
      </c>
      <c r="L355" s="236" t="s">
        <v>1853</v>
      </c>
    </row>
    <row r="356" spans="6:12">
      <c r="F356" s="236" t="s">
        <v>1853</v>
      </c>
      <c r="G356" s="250" t="b">
        <f>IF(OR(INDEX(IHZ_HAZ_TOTAMOUNT,99,1)&lt;&gt;"",),IF(OR(INDEX(IHZ_HAZ_TOTNETGROSS,99,1)="",INDEX(IHZ_HAZ_TOTUNIT,99,1)="",),FALSE,TRUE),TRUE)</f>
        <v>1</v>
      </c>
      <c r="H356" s="52" t="str">
        <f t="shared" si="11"/>
        <v xml:space="preserve">Row 99 - If ‘Total amount’ is given, then ‘Net / Gross’ and ‘Total amount unit’ are required </v>
      </c>
      <c r="I356" s="236" t="s">
        <v>1853</v>
      </c>
      <c r="J356" s="52" t="b">
        <f>IF(OR(INDEX(OHZ_HAZ_TOTAMOUNT,99,1)&lt;&gt;"",),IF(OR(INDEX(OHZ_HAZ_TOTNETGROSS,99,1)="",INDEX(OHZ_HAZ_TOTUNIT,99,1)="",),FALSE,TRUE),TRUE)</f>
        <v>1</v>
      </c>
      <c r="K356" s="52" t="str">
        <f t="shared" si="12"/>
        <v xml:space="preserve">Row 99 - If ‘Total amount’ is given, then ‘Net / Gross’ and ‘Total amount unit’ are required </v>
      </c>
      <c r="L356" s="236" t="s">
        <v>1853</v>
      </c>
    </row>
    <row r="357" spans="6:12">
      <c r="F357" s="236" t="s">
        <v>1853</v>
      </c>
      <c r="G357" s="250" t="b">
        <f>IF(OR(INDEX(IHZ_HAZ_TOTAMOUNT,100,1)&lt;&gt;"",),IF(OR(INDEX(IHZ_HAZ_TOTNETGROSS,100,1)="",INDEX(IHZ_HAZ_TOTUNIT,100,1)="",),FALSE,TRUE),TRUE)</f>
        <v>1</v>
      </c>
      <c r="H357" s="52" t="str">
        <f t="shared" si="11"/>
        <v xml:space="preserve">Row 100 - If ‘Total amount’ is given, then ‘Net / Gross’ and ‘Total amount unit’ are required </v>
      </c>
      <c r="I357" s="236" t="s">
        <v>1853</v>
      </c>
      <c r="J357" s="52" t="b">
        <f>IF(OR(INDEX(OHZ_HAZ_TOTAMOUNT,100,1)&lt;&gt;"",),IF(OR(INDEX(OHZ_HAZ_TOTNETGROSS,100,1)="",INDEX(OHZ_HAZ_TOTUNIT,100,1)="",),FALSE,TRUE),TRUE)</f>
        <v>1</v>
      </c>
      <c r="K357" s="52" t="str">
        <f t="shared" si="12"/>
        <v xml:space="preserve">Row 100 - If ‘Total amount’ is given, then ‘Net / Gross’ and ‘Total amount unit’ are required </v>
      </c>
      <c r="L357" s="236" t="s">
        <v>1853</v>
      </c>
    </row>
    <row r="358" spans="6:12">
      <c r="F358" s="236" t="s">
        <v>1853</v>
      </c>
      <c r="G358" s="250" t="b">
        <f>IF(OR(INDEX(IHZ_HAZ_TOTAMOUNT,101,1)&lt;&gt;"",),IF(OR(INDEX(IHZ_HAZ_TOTNETGROSS,101,1)="",INDEX(IHZ_HAZ_TOTUNIT,101,1)="",),FALSE,TRUE),TRUE)</f>
        <v>1</v>
      </c>
      <c r="H358" s="52" t="str">
        <f t="shared" si="11"/>
        <v xml:space="preserve">Row 101 - If ‘Total amount’ is given, then ‘Net / Gross’ and ‘Total amount unit’ are required </v>
      </c>
      <c r="I358" s="236" t="s">
        <v>1853</v>
      </c>
      <c r="J358" s="52" t="b">
        <f>IF(OR(INDEX(OHZ_HAZ_TOTAMOUNT,101,1)&lt;&gt;"",),IF(OR(INDEX(OHZ_HAZ_TOTNETGROSS,101,1)="",INDEX(OHZ_HAZ_TOTUNIT,101,1)="",),FALSE,TRUE),TRUE)</f>
        <v>1</v>
      </c>
      <c r="K358" s="52" t="str">
        <f t="shared" si="12"/>
        <v xml:space="preserve">Row 101 - If ‘Total amount’ is given, then ‘Net / Gross’ and ‘Total amount unit’ are required </v>
      </c>
      <c r="L358" s="236" t="s">
        <v>1853</v>
      </c>
    </row>
    <row r="359" spans="6:12">
      <c r="F359" s="236" t="s">
        <v>1853</v>
      </c>
      <c r="G359" s="250" t="b">
        <f>IF(OR(INDEX(IHZ_HAZ_TOTAMOUNT,102,1)&lt;&gt;"",),IF(OR(INDEX(IHZ_HAZ_TOTNETGROSS,102,1)="",INDEX(IHZ_HAZ_TOTUNIT,102,1)="",),FALSE,TRUE),TRUE)</f>
        <v>1</v>
      </c>
      <c r="H359" s="52" t="str">
        <f t="shared" si="11"/>
        <v xml:space="preserve">Row 102 - If ‘Total amount’ is given, then ‘Net / Gross’ and ‘Total amount unit’ are required </v>
      </c>
      <c r="I359" s="236" t="s">
        <v>1853</v>
      </c>
      <c r="J359" s="52" t="b">
        <f>IF(OR(INDEX(OHZ_HAZ_TOTAMOUNT,102,1)&lt;&gt;"",),IF(OR(INDEX(OHZ_HAZ_TOTNETGROSS,102,1)="",INDEX(OHZ_HAZ_TOTUNIT,102,1)="",),FALSE,TRUE),TRUE)</f>
        <v>1</v>
      </c>
      <c r="K359" s="52" t="str">
        <f t="shared" si="12"/>
        <v xml:space="preserve">Row 102 - If ‘Total amount’ is given, then ‘Net / Gross’ and ‘Total amount unit’ are required </v>
      </c>
      <c r="L359" s="236" t="s">
        <v>1853</v>
      </c>
    </row>
    <row r="360" spans="6:12">
      <c r="F360" s="236" t="s">
        <v>1853</v>
      </c>
      <c r="G360" s="250" t="b">
        <f>IF(OR(INDEX(IHZ_HAZ_TOTAMOUNT,103,1)&lt;&gt;"",),IF(OR(INDEX(IHZ_HAZ_TOTNETGROSS,103,1)="",INDEX(IHZ_HAZ_TOTUNIT,103,1)="",),FALSE,TRUE),TRUE)</f>
        <v>1</v>
      </c>
      <c r="H360" s="52" t="str">
        <f t="shared" si="11"/>
        <v xml:space="preserve">Row 103 - If ‘Total amount’ is given, then ‘Net / Gross’ and ‘Total amount unit’ are required </v>
      </c>
      <c r="I360" s="236" t="s">
        <v>1853</v>
      </c>
      <c r="J360" s="52" t="b">
        <f>IF(OR(INDEX(OHZ_HAZ_TOTAMOUNT,103,1)&lt;&gt;"",),IF(OR(INDEX(OHZ_HAZ_TOTNETGROSS,103,1)="",INDEX(OHZ_HAZ_TOTUNIT,103,1)="",),FALSE,TRUE),TRUE)</f>
        <v>1</v>
      </c>
      <c r="K360" s="52" t="str">
        <f t="shared" si="12"/>
        <v xml:space="preserve">Row 103 - If ‘Total amount’ is given, then ‘Net / Gross’ and ‘Total amount unit’ are required </v>
      </c>
      <c r="L360" s="236" t="s">
        <v>1853</v>
      </c>
    </row>
    <row r="361" spans="6:12">
      <c r="F361" s="236" t="s">
        <v>1853</v>
      </c>
      <c r="G361" s="250" t="b">
        <f>IF(OR(INDEX(IHZ_HAZ_TOTAMOUNT,104,1)&lt;&gt;"",),IF(OR(INDEX(IHZ_HAZ_TOTNETGROSS,104,1)="",INDEX(IHZ_HAZ_TOTUNIT,104,1)="",),FALSE,TRUE),TRUE)</f>
        <v>1</v>
      </c>
      <c r="H361" s="52" t="str">
        <f t="shared" si="11"/>
        <v xml:space="preserve">Row 104 - If ‘Total amount’ is given, then ‘Net / Gross’ and ‘Total amount unit’ are required </v>
      </c>
      <c r="I361" s="236" t="s">
        <v>1853</v>
      </c>
      <c r="J361" s="52" t="b">
        <f>IF(OR(INDEX(OHZ_HAZ_TOTAMOUNT,104,1)&lt;&gt;"",),IF(OR(INDEX(OHZ_HAZ_TOTNETGROSS,104,1)="",INDEX(OHZ_HAZ_TOTUNIT,104,1)="",),FALSE,TRUE),TRUE)</f>
        <v>1</v>
      </c>
      <c r="K361" s="52" t="str">
        <f t="shared" si="12"/>
        <v xml:space="preserve">Row 104 - If ‘Total amount’ is given, then ‘Net / Gross’ and ‘Total amount unit’ are required </v>
      </c>
      <c r="L361" s="236" t="s">
        <v>1853</v>
      </c>
    </row>
    <row r="362" spans="6:12">
      <c r="F362" s="236" t="s">
        <v>1853</v>
      </c>
      <c r="G362" s="250" t="b">
        <f>IF(OR(INDEX(IHZ_HAZ_TOTAMOUNT,105,1)&lt;&gt;"",),IF(OR(INDEX(IHZ_HAZ_TOTNETGROSS,105,1)="",INDEX(IHZ_HAZ_TOTUNIT,105,1)="",),FALSE,TRUE),TRUE)</f>
        <v>1</v>
      </c>
      <c r="H362" s="52" t="str">
        <f t="shared" si="11"/>
        <v xml:space="preserve">Row 105 - If ‘Total amount’ is given, then ‘Net / Gross’ and ‘Total amount unit’ are required </v>
      </c>
      <c r="I362" s="236" t="s">
        <v>1853</v>
      </c>
      <c r="J362" s="52" t="b">
        <f>IF(OR(INDEX(OHZ_HAZ_TOTAMOUNT,105,1)&lt;&gt;"",),IF(OR(INDEX(OHZ_HAZ_TOTNETGROSS,105,1)="",INDEX(OHZ_HAZ_TOTUNIT,105,1)="",),FALSE,TRUE),TRUE)</f>
        <v>1</v>
      </c>
      <c r="K362" s="52" t="str">
        <f t="shared" si="12"/>
        <v xml:space="preserve">Row 105 - If ‘Total amount’ is given, then ‘Net / Gross’ and ‘Total amount unit’ are required </v>
      </c>
      <c r="L362" s="236" t="s">
        <v>1853</v>
      </c>
    </row>
    <row r="363" spans="6:12">
      <c r="F363" s="236" t="s">
        <v>1853</v>
      </c>
      <c r="G363" s="250" t="b">
        <f>IF(OR(INDEX(IHZ_HAZ_TOTAMOUNT,106,1)&lt;&gt;"",),IF(OR(INDEX(IHZ_HAZ_TOTNETGROSS,106,1)="",INDEX(IHZ_HAZ_TOTUNIT,106,1)="",),FALSE,TRUE),TRUE)</f>
        <v>1</v>
      </c>
      <c r="H363" s="52" t="str">
        <f t="shared" si="11"/>
        <v xml:space="preserve">Row 106 - If ‘Total amount’ is given, then ‘Net / Gross’ and ‘Total amount unit’ are required </v>
      </c>
      <c r="I363" s="236" t="s">
        <v>1853</v>
      </c>
      <c r="J363" s="52" t="b">
        <f>IF(OR(INDEX(OHZ_HAZ_TOTAMOUNT,106,1)&lt;&gt;"",),IF(OR(INDEX(OHZ_HAZ_TOTNETGROSS,106,1)="",INDEX(OHZ_HAZ_TOTUNIT,106,1)="",),FALSE,TRUE),TRUE)</f>
        <v>1</v>
      </c>
      <c r="K363" s="52" t="str">
        <f t="shared" si="12"/>
        <v xml:space="preserve">Row 106 - If ‘Total amount’ is given, then ‘Net / Gross’ and ‘Total amount unit’ are required </v>
      </c>
      <c r="L363" s="236" t="s">
        <v>1853</v>
      </c>
    </row>
    <row r="364" spans="6:12">
      <c r="F364" s="236" t="s">
        <v>1853</v>
      </c>
      <c r="G364" s="250" t="b">
        <f>IF(OR(INDEX(IHZ_HAZ_TOTAMOUNT,107,1)&lt;&gt;"",),IF(OR(INDEX(IHZ_HAZ_TOTNETGROSS,107,1)="",INDEX(IHZ_HAZ_TOTUNIT,107,1)="",),FALSE,TRUE),TRUE)</f>
        <v>1</v>
      </c>
      <c r="H364" s="52" t="str">
        <f t="shared" si="11"/>
        <v xml:space="preserve">Row 107 - If ‘Total amount’ is given, then ‘Net / Gross’ and ‘Total amount unit’ are required </v>
      </c>
      <c r="I364" s="236" t="s">
        <v>1853</v>
      </c>
      <c r="J364" s="52" t="b">
        <f>IF(OR(INDEX(OHZ_HAZ_TOTAMOUNT,107,1)&lt;&gt;"",),IF(OR(INDEX(OHZ_HAZ_TOTNETGROSS,107,1)="",INDEX(OHZ_HAZ_TOTUNIT,107,1)="",),FALSE,TRUE),TRUE)</f>
        <v>1</v>
      </c>
      <c r="K364" s="52" t="str">
        <f t="shared" si="12"/>
        <v xml:space="preserve">Row 107 - If ‘Total amount’ is given, then ‘Net / Gross’ and ‘Total amount unit’ are required </v>
      </c>
      <c r="L364" s="236" t="s">
        <v>1853</v>
      </c>
    </row>
    <row r="365" spans="6:12">
      <c r="F365" s="236" t="s">
        <v>1853</v>
      </c>
      <c r="G365" s="250" t="b">
        <f>IF(OR(INDEX(IHZ_HAZ_TOTAMOUNT,108,1)&lt;&gt;"",),IF(OR(INDEX(IHZ_HAZ_TOTNETGROSS,108,1)="",INDEX(IHZ_HAZ_TOTUNIT,108,1)="",),FALSE,TRUE),TRUE)</f>
        <v>1</v>
      </c>
      <c r="H365" s="52" t="str">
        <f t="shared" si="11"/>
        <v xml:space="preserve">Row 108 - If ‘Total amount’ is given, then ‘Net / Gross’ and ‘Total amount unit’ are required </v>
      </c>
      <c r="I365" s="236" t="s">
        <v>1853</v>
      </c>
      <c r="J365" s="52" t="b">
        <f>IF(OR(INDEX(OHZ_HAZ_TOTAMOUNT,108,1)&lt;&gt;"",),IF(OR(INDEX(OHZ_HAZ_TOTNETGROSS,108,1)="",INDEX(OHZ_HAZ_TOTUNIT,108,1)="",),FALSE,TRUE),TRUE)</f>
        <v>1</v>
      </c>
      <c r="K365" s="52" t="str">
        <f t="shared" si="12"/>
        <v xml:space="preserve">Row 108 - If ‘Total amount’ is given, then ‘Net / Gross’ and ‘Total amount unit’ are required </v>
      </c>
      <c r="L365" s="236" t="s">
        <v>1853</v>
      </c>
    </row>
    <row r="366" spans="6:12">
      <c r="F366" s="236" t="s">
        <v>1853</v>
      </c>
      <c r="G366" s="250" t="b">
        <f>IF(OR(INDEX(IHZ_HAZ_TOTAMOUNT,109,1)&lt;&gt;"",),IF(OR(INDEX(IHZ_HAZ_TOTNETGROSS,109,1)="",INDEX(IHZ_HAZ_TOTUNIT,109,1)="",),FALSE,TRUE),TRUE)</f>
        <v>1</v>
      </c>
      <c r="H366" s="52" t="str">
        <f t="shared" si="11"/>
        <v xml:space="preserve">Row 109 - If ‘Total amount’ is given, then ‘Net / Gross’ and ‘Total amount unit’ are required </v>
      </c>
      <c r="I366" s="236" t="s">
        <v>1853</v>
      </c>
      <c r="J366" s="52" t="b">
        <f>IF(OR(INDEX(OHZ_HAZ_TOTAMOUNT,109,1)&lt;&gt;"",),IF(OR(INDEX(OHZ_HAZ_TOTNETGROSS,109,1)="",INDEX(OHZ_HAZ_TOTUNIT,109,1)="",),FALSE,TRUE),TRUE)</f>
        <v>1</v>
      </c>
      <c r="K366" s="52" t="str">
        <f t="shared" si="12"/>
        <v xml:space="preserve">Row 109 - If ‘Total amount’ is given, then ‘Net / Gross’ and ‘Total amount unit’ are required </v>
      </c>
      <c r="L366" s="236" t="s">
        <v>1853</v>
      </c>
    </row>
    <row r="367" spans="6:12">
      <c r="F367" s="236" t="s">
        <v>1853</v>
      </c>
      <c r="G367" s="250" t="b">
        <f>IF(OR(INDEX(IHZ_HAZ_TOTAMOUNT,110,1)&lt;&gt;"",),IF(OR(INDEX(IHZ_HAZ_TOTNETGROSS,110,1)="",INDEX(IHZ_HAZ_TOTUNIT,110,1)="",),FALSE,TRUE),TRUE)</f>
        <v>1</v>
      </c>
      <c r="H367" s="52" t="str">
        <f t="shared" si="11"/>
        <v xml:space="preserve">Row 110 - If ‘Total amount’ is given, then ‘Net / Gross’ and ‘Total amount unit’ are required </v>
      </c>
      <c r="I367" s="236" t="s">
        <v>1853</v>
      </c>
      <c r="J367" s="52" t="b">
        <f>IF(OR(INDEX(OHZ_HAZ_TOTAMOUNT,110,1)&lt;&gt;"",),IF(OR(INDEX(OHZ_HAZ_TOTNETGROSS,110,1)="",INDEX(OHZ_HAZ_TOTUNIT,110,1)="",),FALSE,TRUE),TRUE)</f>
        <v>1</v>
      </c>
      <c r="K367" s="52" t="str">
        <f t="shared" si="12"/>
        <v xml:space="preserve">Row 110 - If ‘Total amount’ is given, then ‘Net / Gross’ and ‘Total amount unit’ are required </v>
      </c>
      <c r="L367" s="236" t="s">
        <v>1853</v>
      </c>
    </row>
    <row r="368" spans="6:12">
      <c r="F368" s="236" t="s">
        <v>1853</v>
      </c>
      <c r="G368" s="250" t="b">
        <f>IF(OR(INDEX(IHZ_HAZ_TOTAMOUNT,111,1)&lt;&gt;"",),IF(OR(INDEX(IHZ_HAZ_TOTNETGROSS,111,1)="",INDEX(IHZ_HAZ_TOTUNIT,111,1)="",),FALSE,TRUE),TRUE)</f>
        <v>1</v>
      </c>
      <c r="H368" s="52" t="str">
        <f t="shared" si="11"/>
        <v xml:space="preserve">Row 111 - If ‘Total amount’ is given, then ‘Net / Gross’ and ‘Total amount unit’ are required </v>
      </c>
      <c r="I368" s="236" t="s">
        <v>1853</v>
      </c>
      <c r="J368" s="52" t="b">
        <f>IF(OR(INDEX(OHZ_HAZ_TOTAMOUNT,111,1)&lt;&gt;"",),IF(OR(INDEX(OHZ_HAZ_TOTNETGROSS,111,1)="",INDEX(OHZ_HAZ_TOTUNIT,111,1)="",),FALSE,TRUE),TRUE)</f>
        <v>1</v>
      </c>
      <c r="K368" s="52" t="str">
        <f t="shared" si="12"/>
        <v xml:space="preserve">Row 111 - If ‘Total amount’ is given, then ‘Net / Gross’ and ‘Total amount unit’ are required </v>
      </c>
      <c r="L368" s="236" t="s">
        <v>1853</v>
      </c>
    </row>
    <row r="369" spans="6:12">
      <c r="F369" s="236" t="s">
        <v>1853</v>
      </c>
      <c r="G369" s="250" t="b">
        <f>IF(OR(INDEX(IHZ_HAZ_TOTAMOUNT,112,1)&lt;&gt;"",),IF(OR(INDEX(IHZ_HAZ_TOTNETGROSS,112,1)="",INDEX(IHZ_HAZ_TOTUNIT,112,1)="",),FALSE,TRUE),TRUE)</f>
        <v>1</v>
      </c>
      <c r="H369" s="52" t="str">
        <f t="shared" si="11"/>
        <v xml:space="preserve">Row 112 - If ‘Total amount’ is given, then ‘Net / Gross’ and ‘Total amount unit’ are required </v>
      </c>
      <c r="I369" s="236" t="s">
        <v>1853</v>
      </c>
      <c r="J369" s="52" t="b">
        <f>IF(OR(INDEX(OHZ_HAZ_TOTAMOUNT,112,1)&lt;&gt;"",),IF(OR(INDEX(OHZ_HAZ_TOTNETGROSS,112,1)="",INDEX(OHZ_HAZ_TOTUNIT,112,1)="",),FALSE,TRUE),TRUE)</f>
        <v>1</v>
      </c>
      <c r="K369" s="52" t="str">
        <f t="shared" si="12"/>
        <v xml:space="preserve">Row 112 - If ‘Total amount’ is given, then ‘Net / Gross’ and ‘Total amount unit’ are required </v>
      </c>
      <c r="L369" s="236" t="s">
        <v>1853</v>
      </c>
    </row>
    <row r="370" spans="6:12">
      <c r="F370" s="236" t="s">
        <v>1853</v>
      </c>
      <c r="G370" s="250" t="b">
        <f>IF(OR(INDEX(IHZ_HAZ_TOTAMOUNT,113,1)&lt;&gt;"",),IF(OR(INDEX(IHZ_HAZ_TOTNETGROSS,113,1)="",INDEX(IHZ_HAZ_TOTUNIT,113,1)="",),FALSE,TRUE),TRUE)</f>
        <v>1</v>
      </c>
      <c r="H370" s="52" t="str">
        <f t="shared" si="11"/>
        <v xml:space="preserve">Row 113 - If ‘Total amount’ is given, then ‘Net / Gross’ and ‘Total amount unit’ are required </v>
      </c>
      <c r="I370" s="236" t="s">
        <v>1853</v>
      </c>
      <c r="J370" s="52" t="b">
        <f>IF(OR(INDEX(OHZ_HAZ_TOTAMOUNT,113,1)&lt;&gt;"",),IF(OR(INDEX(OHZ_HAZ_TOTNETGROSS,113,1)="",INDEX(OHZ_HAZ_TOTUNIT,113,1)="",),FALSE,TRUE),TRUE)</f>
        <v>1</v>
      </c>
      <c r="K370" s="52" t="str">
        <f t="shared" si="12"/>
        <v xml:space="preserve">Row 113 - If ‘Total amount’ is given, then ‘Net / Gross’ and ‘Total amount unit’ are required </v>
      </c>
      <c r="L370" s="236" t="s">
        <v>1853</v>
      </c>
    </row>
    <row r="371" spans="6:12">
      <c r="F371" s="236" t="s">
        <v>1853</v>
      </c>
      <c r="G371" s="250" t="b">
        <f>IF(OR(INDEX(IHZ_HAZ_TOTAMOUNT,114,1)&lt;&gt;"",),IF(OR(INDEX(IHZ_HAZ_TOTNETGROSS,114,1)="",INDEX(IHZ_HAZ_TOTUNIT,114,1)="",),FALSE,TRUE),TRUE)</f>
        <v>1</v>
      </c>
      <c r="H371" s="52" t="str">
        <f t="shared" si="11"/>
        <v xml:space="preserve">Row 114 - If ‘Total amount’ is given, then ‘Net / Gross’ and ‘Total amount unit’ are required </v>
      </c>
      <c r="I371" s="236" t="s">
        <v>1853</v>
      </c>
      <c r="J371" s="52" t="b">
        <f>IF(OR(INDEX(OHZ_HAZ_TOTAMOUNT,114,1)&lt;&gt;"",),IF(OR(INDEX(OHZ_HAZ_TOTNETGROSS,114,1)="",INDEX(OHZ_HAZ_TOTUNIT,114,1)="",),FALSE,TRUE),TRUE)</f>
        <v>1</v>
      </c>
      <c r="K371" s="52" t="str">
        <f t="shared" si="12"/>
        <v xml:space="preserve">Row 114 - If ‘Total amount’ is given, then ‘Net / Gross’ and ‘Total amount unit’ are required </v>
      </c>
      <c r="L371" s="236" t="s">
        <v>1853</v>
      </c>
    </row>
    <row r="372" spans="6:12">
      <c r="F372" s="236" t="s">
        <v>1853</v>
      </c>
      <c r="G372" s="250" t="b">
        <f>IF(OR(INDEX(IHZ_HAZ_TOTAMOUNT,115,1)&lt;&gt;"",),IF(OR(INDEX(IHZ_HAZ_TOTNETGROSS,115,1)="",INDEX(IHZ_HAZ_TOTUNIT,115,1)="",),FALSE,TRUE),TRUE)</f>
        <v>1</v>
      </c>
      <c r="H372" s="52" t="str">
        <f t="shared" si="11"/>
        <v xml:space="preserve">Row 115 - If ‘Total amount’ is given, then ‘Net / Gross’ and ‘Total amount unit’ are required </v>
      </c>
      <c r="I372" s="236" t="s">
        <v>1853</v>
      </c>
      <c r="J372" s="52" t="b">
        <f>IF(OR(INDEX(OHZ_HAZ_TOTAMOUNT,115,1)&lt;&gt;"",),IF(OR(INDEX(OHZ_HAZ_TOTNETGROSS,115,1)="",INDEX(OHZ_HAZ_TOTUNIT,115,1)="",),FALSE,TRUE),TRUE)</f>
        <v>1</v>
      </c>
      <c r="K372" s="52" t="str">
        <f t="shared" si="12"/>
        <v xml:space="preserve">Row 115 - If ‘Total amount’ is given, then ‘Net / Gross’ and ‘Total amount unit’ are required </v>
      </c>
      <c r="L372" s="236" t="s">
        <v>1853</v>
      </c>
    </row>
    <row r="373" spans="6:12">
      <c r="F373" s="236" t="s">
        <v>1853</v>
      </c>
      <c r="G373" s="250" t="b">
        <f>IF(OR(INDEX(IHZ_HAZ_TOTAMOUNT,116,1)&lt;&gt;"",),IF(OR(INDEX(IHZ_HAZ_TOTNETGROSS,116,1)="",INDEX(IHZ_HAZ_TOTUNIT,116,1)="",),FALSE,TRUE),TRUE)</f>
        <v>1</v>
      </c>
      <c r="H373" s="52" t="str">
        <f t="shared" si="11"/>
        <v xml:space="preserve">Row 116 - If ‘Total amount’ is given, then ‘Net / Gross’ and ‘Total amount unit’ are required </v>
      </c>
      <c r="I373" s="236" t="s">
        <v>1853</v>
      </c>
      <c r="J373" s="52" t="b">
        <f>IF(OR(INDEX(OHZ_HAZ_TOTAMOUNT,116,1)&lt;&gt;"",),IF(OR(INDEX(OHZ_HAZ_TOTNETGROSS,116,1)="",INDEX(OHZ_HAZ_TOTUNIT,116,1)="",),FALSE,TRUE),TRUE)</f>
        <v>1</v>
      </c>
      <c r="K373" s="52" t="str">
        <f t="shared" si="12"/>
        <v xml:space="preserve">Row 116 - If ‘Total amount’ is given, then ‘Net / Gross’ and ‘Total amount unit’ are required </v>
      </c>
      <c r="L373" s="236" t="s">
        <v>1853</v>
      </c>
    </row>
    <row r="374" spans="6:12">
      <c r="F374" s="236" t="s">
        <v>1853</v>
      </c>
      <c r="G374" s="250" t="b">
        <f>IF(OR(INDEX(IHZ_HAZ_TOTAMOUNT,117,1)&lt;&gt;"",),IF(OR(INDEX(IHZ_HAZ_TOTNETGROSS,117,1)="",INDEX(IHZ_HAZ_TOTUNIT,117,1)="",),FALSE,TRUE),TRUE)</f>
        <v>1</v>
      </c>
      <c r="H374" s="52" t="str">
        <f t="shared" si="11"/>
        <v xml:space="preserve">Row 117 - If ‘Total amount’ is given, then ‘Net / Gross’ and ‘Total amount unit’ are required </v>
      </c>
      <c r="I374" s="236" t="s">
        <v>1853</v>
      </c>
      <c r="J374" s="52" t="b">
        <f>IF(OR(INDEX(OHZ_HAZ_TOTAMOUNT,117,1)&lt;&gt;"",),IF(OR(INDEX(OHZ_HAZ_TOTNETGROSS,117,1)="",INDEX(OHZ_HAZ_TOTUNIT,117,1)="",),FALSE,TRUE),TRUE)</f>
        <v>1</v>
      </c>
      <c r="K374" s="52" t="str">
        <f t="shared" si="12"/>
        <v xml:space="preserve">Row 117 - If ‘Total amount’ is given, then ‘Net / Gross’ and ‘Total amount unit’ are required </v>
      </c>
      <c r="L374" s="236" t="s">
        <v>1853</v>
      </c>
    </row>
    <row r="375" spans="6:12">
      <c r="F375" s="236" t="s">
        <v>1853</v>
      </c>
      <c r="G375" s="250" t="b">
        <f>IF(OR(INDEX(IHZ_HAZ_TOTAMOUNT,118,1)&lt;&gt;"",),IF(OR(INDEX(IHZ_HAZ_TOTNETGROSS,118,1)="",INDEX(IHZ_HAZ_TOTUNIT,118,1)="",),FALSE,TRUE),TRUE)</f>
        <v>1</v>
      </c>
      <c r="H375" s="52" t="str">
        <f t="shared" si="11"/>
        <v xml:space="preserve">Row 118 - If ‘Total amount’ is given, then ‘Net / Gross’ and ‘Total amount unit’ are required </v>
      </c>
      <c r="I375" s="236" t="s">
        <v>1853</v>
      </c>
      <c r="J375" s="52" t="b">
        <f>IF(OR(INDEX(OHZ_HAZ_TOTAMOUNT,118,1)&lt;&gt;"",),IF(OR(INDEX(OHZ_HAZ_TOTNETGROSS,118,1)="",INDEX(OHZ_HAZ_TOTUNIT,118,1)="",),FALSE,TRUE),TRUE)</f>
        <v>1</v>
      </c>
      <c r="K375" s="52" t="str">
        <f t="shared" si="12"/>
        <v xml:space="preserve">Row 118 - If ‘Total amount’ is given, then ‘Net / Gross’ and ‘Total amount unit’ are required </v>
      </c>
      <c r="L375" s="236" t="s">
        <v>1853</v>
      </c>
    </row>
    <row r="376" spans="6:12">
      <c r="F376" s="236" t="s">
        <v>1853</v>
      </c>
      <c r="G376" s="250" t="b">
        <f>IF(OR(INDEX(IHZ_HAZ_TOTAMOUNT,119,1)&lt;&gt;"",),IF(OR(INDEX(IHZ_HAZ_TOTNETGROSS,119,1)="",INDEX(IHZ_HAZ_TOTUNIT,119,1)="",),FALSE,TRUE),TRUE)</f>
        <v>1</v>
      </c>
      <c r="H376" s="52" t="str">
        <f t="shared" si="11"/>
        <v xml:space="preserve">Row 119 - If ‘Total amount’ is given, then ‘Net / Gross’ and ‘Total amount unit’ are required </v>
      </c>
      <c r="I376" s="236" t="s">
        <v>1853</v>
      </c>
      <c r="J376" s="52" t="b">
        <f>IF(OR(INDEX(OHZ_HAZ_TOTAMOUNT,119,1)&lt;&gt;"",),IF(OR(INDEX(OHZ_HAZ_TOTNETGROSS,119,1)="",INDEX(OHZ_HAZ_TOTUNIT,119,1)="",),FALSE,TRUE),TRUE)</f>
        <v>1</v>
      </c>
      <c r="K376" s="52" t="str">
        <f t="shared" si="12"/>
        <v xml:space="preserve">Row 119 - If ‘Total amount’ is given, then ‘Net / Gross’ and ‘Total amount unit’ are required </v>
      </c>
      <c r="L376" s="236" t="s">
        <v>1853</v>
      </c>
    </row>
    <row r="377" spans="6:12">
      <c r="F377" s="236" t="s">
        <v>1853</v>
      </c>
      <c r="G377" s="250" t="b">
        <f>IF(OR(INDEX(IHZ_HAZ_TOTAMOUNT,120,1)&lt;&gt;"",),IF(OR(INDEX(IHZ_HAZ_TOTNETGROSS,120,1)="",INDEX(IHZ_HAZ_TOTUNIT,120,1)="",),FALSE,TRUE),TRUE)</f>
        <v>1</v>
      </c>
      <c r="H377" s="52" t="str">
        <f t="shared" si="11"/>
        <v xml:space="preserve">Row 120 - If ‘Total amount’ is given, then ‘Net / Gross’ and ‘Total amount unit’ are required </v>
      </c>
      <c r="I377" s="236" t="s">
        <v>1853</v>
      </c>
      <c r="J377" s="52" t="b">
        <f>IF(OR(INDEX(OHZ_HAZ_TOTAMOUNT,120,1)&lt;&gt;"",),IF(OR(INDEX(OHZ_HAZ_TOTNETGROSS,120,1)="",INDEX(OHZ_HAZ_TOTUNIT,120,1)="",),FALSE,TRUE),TRUE)</f>
        <v>1</v>
      </c>
      <c r="K377" s="52" t="str">
        <f t="shared" si="12"/>
        <v xml:space="preserve">Row 120 - If ‘Total amount’ is given, then ‘Net / Gross’ and ‘Total amount unit’ are required </v>
      </c>
      <c r="L377" s="236" t="s">
        <v>1853</v>
      </c>
    </row>
    <row r="378" spans="6:12">
      <c r="F378" s="236" t="s">
        <v>1853</v>
      </c>
      <c r="G378" s="250" t="b">
        <f>IF(OR(INDEX(IHZ_HAZ_TOTAMOUNT,121,1)&lt;&gt;"",),IF(OR(INDEX(IHZ_HAZ_TOTNETGROSS,121,1)="",INDEX(IHZ_HAZ_TOTUNIT,121,1)="",),FALSE,TRUE),TRUE)</f>
        <v>1</v>
      </c>
      <c r="H378" s="52" t="str">
        <f t="shared" si="11"/>
        <v xml:space="preserve">Row 121 - If ‘Total amount’ is given, then ‘Net / Gross’ and ‘Total amount unit’ are required </v>
      </c>
      <c r="I378" s="236" t="s">
        <v>1853</v>
      </c>
      <c r="J378" s="52" t="b">
        <f>IF(OR(INDEX(OHZ_HAZ_TOTAMOUNT,121,1)&lt;&gt;"",),IF(OR(INDEX(OHZ_HAZ_TOTNETGROSS,121,1)="",INDEX(OHZ_HAZ_TOTUNIT,121,1)="",),FALSE,TRUE),TRUE)</f>
        <v>1</v>
      </c>
      <c r="K378" s="52" t="str">
        <f t="shared" si="12"/>
        <v xml:space="preserve">Row 121 - If ‘Total amount’ is given, then ‘Net / Gross’ and ‘Total amount unit’ are required </v>
      </c>
      <c r="L378" s="236" t="s">
        <v>1853</v>
      </c>
    </row>
    <row r="379" spans="6:12">
      <c r="F379" s="236" t="s">
        <v>1853</v>
      </c>
      <c r="G379" s="250" t="b">
        <f>IF(OR(INDEX(IHZ_HAZ_TOTAMOUNT,122,1)&lt;&gt;"",),IF(OR(INDEX(IHZ_HAZ_TOTNETGROSS,122,1)="",INDEX(IHZ_HAZ_TOTUNIT,122,1)="",),FALSE,TRUE),TRUE)</f>
        <v>1</v>
      </c>
      <c r="H379" s="52" t="str">
        <f t="shared" si="11"/>
        <v xml:space="preserve">Row 122 - If ‘Total amount’ is given, then ‘Net / Gross’ and ‘Total amount unit’ are required </v>
      </c>
      <c r="I379" s="236" t="s">
        <v>1853</v>
      </c>
      <c r="J379" s="52" t="b">
        <f>IF(OR(INDEX(OHZ_HAZ_TOTAMOUNT,122,1)&lt;&gt;"",),IF(OR(INDEX(OHZ_HAZ_TOTNETGROSS,122,1)="",INDEX(OHZ_HAZ_TOTUNIT,122,1)="",),FALSE,TRUE),TRUE)</f>
        <v>1</v>
      </c>
      <c r="K379" s="52" t="str">
        <f t="shared" si="12"/>
        <v xml:space="preserve">Row 122 - If ‘Total amount’ is given, then ‘Net / Gross’ and ‘Total amount unit’ are required </v>
      </c>
      <c r="L379" s="236" t="s">
        <v>1853</v>
      </c>
    </row>
    <row r="380" spans="6:12">
      <c r="F380" s="236" t="s">
        <v>1853</v>
      </c>
      <c r="G380" s="250" t="b">
        <f>IF(OR(INDEX(IHZ_HAZ_TOTAMOUNT,123,1)&lt;&gt;"",),IF(OR(INDEX(IHZ_HAZ_TOTNETGROSS,123,1)="",INDEX(IHZ_HAZ_TOTUNIT,123,1)="",),FALSE,TRUE),TRUE)</f>
        <v>1</v>
      </c>
      <c r="H380" s="52" t="str">
        <f t="shared" si="11"/>
        <v xml:space="preserve">Row 123 - If ‘Total amount’ is given, then ‘Net / Gross’ and ‘Total amount unit’ are required </v>
      </c>
      <c r="I380" s="236" t="s">
        <v>1853</v>
      </c>
      <c r="J380" s="52" t="b">
        <f>IF(OR(INDEX(OHZ_HAZ_TOTAMOUNT,123,1)&lt;&gt;"",),IF(OR(INDEX(OHZ_HAZ_TOTNETGROSS,123,1)="",INDEX(OHZ_HAZ_TOTUNIT,123,1)="",),FALSE,TRUE),TRUE)</f>
        <v>1</v>
      </c>
      <c r="K380" s="52" t="str">
        <f t="shared" si="12"/>
        <v xml:space="preserve">Row 123 - If ‘Total amount’ is given, then ‘Net / Gross’ and ‘Total amount unit’ are required </v>
      </c>
      <c r="L380" s="236" t="s">
        <v>1853</v>
      </c>
    </row>
    <row r="381" spans="6:12">
      <c r="F381" s="236" t="s">
        <v>1853</v>
      </c>
      <c r="G381" s="250" t="b">
        <f>IF(OR(INDEX(IHZ_HAZ_TOTAMOUNT,124,1)&lt;&gt;"",),IF(OR(INDEX(IHZ_HAZ_TOTNETGROSS,124,1)="",INDEX(IHZ_HAZ_TOTUNIT,124,1)="",),FALSE,TRUE),TRUE)</f>
        <v>1</v>
      </c>
      <c r="H381" s="52" t="str">
        <f t="shared" si="11"/>
        <v xml:space="preserve">Row 124 - If ‘Total amount’ is given, then ‘Net / Gross’ and ‘Total amount unit’ are required </v>
      </c>
      <c r="I381" s="236" t="s">
        <v>1853</v>
      </c>
      <c r="J381" s="52" t="b">
        <f>IF(OR(INDEX(OHZ_HAZ_TOTAMOUNT,124,1)&lt;&gt;"",),IF(OR(INDEX(OHZ_HAZ_TOTNETGROSS,124,1)="",INDEX(OHZ_HAZ_TOTUNIT,124,1)="",),FALSE,TRUE),TRUE)</f>
        <v>1</v>
      </c>
      <c r="K381" s="52" t="str">
        <f t="shared" si="12"/>
        <v xml:space="preserve">Row 124 - If ‘Total amount’ is given, then ‘Net / Gross’ and ‘Total amount unit’ are required </v>
      </c>
      <c r="L381" s="236" t="s">
        <v>1853</v>
      </c>
    </row>
    <row r="382" spans="6:12">
      <c r="F382" s="236" t="s">
        <v>1853</v>
      </c>
      <c r="G382" s="250" t="b">
        <f>IF(OR(INDEX(IHZ_HAZ_TOTAMOUNT,125,1)&lt;&gt;"",),IF(OR(INDEX(IHZ_HAZ_TOTNETGROSS,125,1)="",INDEX(IHZ_HAZ_TOTUNIT,125,1)="",),FALSE,TRUE),TRUE)</f>
        <v>1</v>
      </c>
      <c r="H382" s="52" t="str">
        <f t="shared" si="11"/>
        <v xml:space="preserve">Row 125 - If ‘Total amount’ is given, then ‘Net / Gross’ and ‘Total amount unit’ are required </v>
      </c>
      <c r="I382" s="236" t="s">
        <v>1853</v>
      </c>
      <c r="J382" s="52" t="b">
        <f>IF(OR(INDEX(OHZ_HAZ_TOTAMOUNT,125,1)&lt;&gt;"",),IF(OR(INDEX(OHZ_HAZ_TOTNETGROSS,125,1)="",INDEX(OHZ_HAZ_TOTUNIT,125,1)="",),FALSE,TRUE),TRUE)</f>
        <v>1</v>
      </c>
      <c r="K382" s="52" t="str">
        <f t="shared" si="12"/>
        <v xml:space="preserve">Row 125 - If ‘Total amount’ is given, then ‘Net / Gross’ and ‘Total amount unit’ are required </v>
      </c>
      <c r="L382" s="236" t="s">
        <v>1853</v>
      </c>
    </row>
    <row r="383" spans="6:12">
      <c r="F383" s="236" t="s">
        <v>1853</v>
      </c>
      <c r="G383" s="250" t="b">
        <f>IF(OR(INDEX(IHZ_HAZ_TOTAMOUNT,126,1)&lt;&gt;"",),IF(OR(INDEX(IHZ_HAZ_TOTNETGROSS,126,1)="",INDEX(IHZ_HAZ_TOTUNIT,126,1)="",),FALSE,TRUE),TRUE)</f>
        <v>1</v>
      </c>
      <c r="H383" s="52" t="str">
        <f t="shared" si="11"/>
        <v xml:space="preserve">Row 126 - If ‘Total amount’ is given, then ‘Net / Gross’ and ‘Total amount unit’ are required </v>
      </c>
      <c r="I383" s="236" t="s">
        <v>1853</v>
      </c>
      <c r="J383" s="52" t="b">
        <f>IF(OR(INDEX(OHZ_HAZ_TOTAMOUNT,126,1)&lt;&gt;"",),IF(OR(INDEX(OHZ_HAZ_TOTNETGROSS,126,1)="",INDEX(OHZ_HAZ_TOTUNIT,126,1)="",),FALSE,TRUE),TRUE)</f>
        <v>1</v>
      </c>
      <c r="K383" s="52" t="str">
        <f t="shared" si="12"/>
        <v xml:space="preserve">Row 126 - If ‘Total amount’ is given, then ‘Net / Gross’ and ‘Total amount unit’ are required </v>
      </c>
      <c r="L383" s="236" t="s">
        <v>1853</v>
      </c>
    </row>
    <row r="384" spans="6:12">
      <c r="F384" s="236" t="s">
        <v>1853</v>
      </c>
      <c r="G384" s="250" t="b">
        <f>IF(OR(INDEX(IHZ_HAZ_TOTAMOUNT,127,1)&lt;&gt;"",),IF(OR(INDEX(IHZ_HAZ_TOTNETGROSS,127,1)="",INDEX(IHZ_HAZ_TOTUNIT,127,1)="",),FALSE,TRUE),TRUE)</f>
        <v>1</v>
      </c>
      <c r="H384" s="52" t="str">
        <f t="shared" si="11"/>
        <v xml:space="preserve">Row 127 - If ‘Total amount’ is given, then ‘Net / Gross’ and ‘Total amount unit’ are required </v>
      </c>
      <c r="I384" s="236" t="s">
        <v>1853</v>
      </c>
      <c r="J384" s="52" t="b">
        <f>IF(OR(INDEX(OHZ_HAZ_TOTAMOUNT,127,1)&lt;&gt;"",),IF(OR(INDEX(OHZ_HAZ_TOTNETGROSS,127,1)="",INDEX(OHZ_HAZ_TOTUNIT,127,1)="",),FALSE,TRUE),TRUE)</f>
        <v>1</v>
      </c>
      <c r="K384" s="52" t="str">
        <f t="shared" si="12"/>
        <v xml:space="preserve">Row 127 - If ‘Total amount’ is given, then ‘Net / Gross’ and ‘Total amount unit’ are required </v>
      </c>
      <c r="L384" s="236" t="s">
        <v>1853</v>
      </c>
    </row>
    <row r="385" spans="6:12">
      <c r="F385" s="236" t="s">
        <v>1853</v>
      </c>
      <c r="G385" s="250" t="b">
        <f>IF(OR(INDEX(IHZ_HAZ_TOTAMOUNT,128,1)&lt;&gt;"",),IF(OR(INDEX(IHZ_HAZ_TOTNETGROSS,128,1)="",INDEX(IHZ_HAZ_TOTUNIT,128,1)="",),FALSE,TRUE),TRUE)</f>
        <v>1</v>
      </c>
      <c r="H385" s="52" t="str">
        <f t="shared" si="11"/>
        <v xml:space="preserve">Row 128 - If ‘Total amount’ is given, then ‘Net / Gross’ and ‘Total amount unit’ are required </v>
      </c>
      <c r="I385" s="236" t="s">
        <v>1853</v>
      </c>
      <c r="J385" s="52" t="b">
        <f>IF(OR(INDEX(OHZ_HAZ_TOTAMOUNT,128,1)&lt;&gt;"",),IF(OR(INDEX(OHZ_HAZ_TOTNETGROSS,128,1)="",INDEX(OHZ_HAZ_TOTUNIT,128,1)="",),FALSE,TRUE),TRUE)</f>
        <v>1</v>
      </c>
      <c r="K385" s="52" t="str">
        <f t="shared" si="12"/>
        <v xml:space="preserve">Row 128 - If ‘Total amount’ is given, then ‘Net / Gross’ and ‘Total amount unit’ are required </v>
      </c>
      <c r="L385" s="236" t="s">
        <v>1853</v>
      </c>
    </row>
    <row r="386" spans="6:12">
      <c r="F386" s="236" t="s">
        <v>1853</v>
      </c>
      <c r="G386" s="250" t="b">
        <f>IF(OR(INDEX(IHZ_HAZ_TOTAMOUNT,129,1)&lt;&gt;"",),IF(OR(INDEX(IHZ_HAZ_TOTNETGROSS,129,1)="",INDEX(IHZ_HAZ_TOTUNIT,129,1)="",),FALSE,TRUE),TRUE)</f>
        <v>1</v>
      </c>
      <c r="H386" s="52" t="str">
        <f t="shared" si="11"/>
        <v xml:space="preserve">Row 129 - If ‘Total amount’ is given, then ‘Net / Gross’ and ‘Total amount unit’ are required </v>
      </c>
      <c r="I386" s="236" t="s">
        <v>1853</v>
      </c>
      <c r="J386" s="52" t="b">
        <f>IF(OR(INDEX(OHZ_HAZ_TOTAMOUNT,129,1)&lt;&gt;"",),IF(OR(INDEX(OHZ_HAZ_TOTNETGROSS,129,1)="",INDEX(OHZ_HAZ_TOTUNIT,129,1)="",),FALSE,TRUE),TRUE)</f>
        <v>1</v>
      </c>
      <c r="K386" s="52" t="str">
        <f t="shared" si="12"/>
        <v xml:space="preserve">Row 129 - If ‘Total amount’ is given, then ‘Net / Gross’ and ‘Total amount unit’ are required </v>
      </c>
      <c r="L386" s="236" t="s">
        <v>1853</v>
      </c>
    </row>
    <row r="387" spans="6:12">
      <c r="F387" s="236" t="s">
        <v>1853</v>
      </c>
      <c r="G387" s="250" t="b">
        <f>IF(OR(INDEX(IHZ_HAZ_TOTAMOUNT,130,1)&lt;&gt;"",),IF(OR(INDEX(IHZ_HAZ_TOTNETGROSS,130,1)="",INDEX(IHZ_HAZ_TOTUNIT,130,1)="",),FALSE,TRUE),TRUE)</f>
        <v>1</v>
      </c>
      <c r="H387" s="52" t="str">
        <f t="shared" ref="H387:H450" si="13">T130&amp;$V$2</f>
        <v xml:space="preserve">Row 130 - If ‘Total amount’ is given, then ‘Net / Gross’ and ‘Total amount unit’ are required </v>
      </c>
      <c r="I387" s="236" t="s">
        <v>1853</v>
      </c>
      <c r="J387" s="52" t="b">
        <f>IF(OR(INDEX(OHZ_HAZ_TOTAMOUNT,130,1)&lt;&gt;"",),IF(OR(INDEX(OHZ_HAZ_TOTNETGROSS,130,1)="",INDEX(OHZ_HAZ_TOTUNIT,130,1)="",),FALSE,TRUE),TRUE)</f>
        <v>1</v>
      </c>
      <c r="K387" s="52" t="str">
        <f t="shared" ref="K387:K450" si="14">T130&amp;$V$2</f>
        <v xml:space="preserve">Row 130 - If ‘Total amount’ is given, then ‘Net / Gross’ and ‘Total amount unit’ are required </v>
      </c>
      <c r="L387" s="236" t="s">
        <v>1853</v>
      </c>
    </row>
    <row r="388" spans="6:12">
      <c r="F388" s="236" t="s">
        <v>1853</v>
      </c>
      <c r="G388" s="250" t="b">
        <f>IF(OR(INDEX(IHZ_HAZ_TOTAMOUNT,131,1)&lt;&gt;"",),IF(OR(INDEX(IHZ_HAZ_TOTNETGROSS,131,1)="",INDEX(IHZ_HAZ_TOTUNIT,131,1)="",),FALSE,TRUE),TRUE)</f>
        <v>1</v>
      </c>
      <c r="H388" s="52" t="str">
        <f t="shared" si="13"/>
        <v xml:space="preserve">Row 131 - If ‘Total amount’ is given, then ‘Net / Gross’ and ‘Total amount unit’ are required </v>
      </c>
      <c r="I388" s="236" t="s">
        <v>1853</v>
      </c>
      <c r="J388" s="52" t="b">
        <f>IF(OR(INDEX(OHZ_HAZ_TOTAMOUNT,131,1)&lt;&gt;"",),IF(OR(INDEX(OHZ_HAZ_TOTNETGROSS,131,1)="",INDEX(OHZ_HAZ_TOTUNIT,131,1)="",),FALSE,TRUE),TRUE)</f>
        <v>1</v>
      </c>
      <c r="K388" s="52" t="str">
        <f t="shared" si="14"/>
        <v xml:space="preserve">Row 131 - If ‘Total amount’ is given, then ‘Net / Gross’ and ‘Total amount unit’ are required </v>
      </c>
      <c r="L388" s="236" t="s">
        <v>1853</v>
      </c>
    </row>
    <row r="389" spans="6:12">
      <c r="F389" s="236" t="s">
        <v>1853</v>
      </c>
      <c r="G389" s="250" t="b">
        <f>IF(OR(INDEX(IHZ_HAZ_TOTAMOUNT,132,1)&lt;&gt;"",),IF(OR(INDEX(IHZ_HAZ_TOTNETGROSS,132,1)="",INDEX(IHZ_HAZ_TOTUNIT,132,1)="",),FALSE,TRUE),TRUE)</f>
        <v>1</v>
      </c>
      <c r="H389" s="52" t="str">
        <f t="shared" si="13"/>
        <v xml:space="preserve">Row 132 - If ‘Total amount’ is given, then ‘Net / Gross’ and ‘Total amount unit’ are required </v>
      </c>
      <c r="I389" s="236" t="s">
        <v>1853</v>
      </c>
      <c r="J389" s="52" t="b">
        <f>IF(OR(INDEX(OHZ_HAZ_TOTAMOUNT,132,1)&lt;&gt;"",),IF(OR(INDEX(OHZ_HAZ_TOTNETGROSS,132,1)="",INDEX(OHZ_HAZ_TOTUNIT,132,1)="",),FALSE,TRUE),TRUE)</f>
        <v>1</v>
      </c>
      <c r="K389" s="52" t="str">
        <f t="shared" si="14"/>
        <v xml:space="preserve">Row 132 - If ‘Total amount’ is given, then ‘Net / Gross’ and ‘Total amount unit’ are required </v>
      </c>
      <c r="L389" s="236" t="s">
        <v>1853</v>
      </c>
    </row>
    <row r="390" spans="6:12">
      <c r="F390" s="236" t="s">
        <v>1853</v>
      </c>
      <c r="G390" s="250" t="b">
        <f>IF(OR(INDEX(IHZ_HAZ_TOTAMOUNT,133,1)&lt;&gt;"",),IF(OR(INDEX(IHZ_HAZ_TOTNETGROSS,133,1)="",INDEX(IHZ_HAZ_TOTUNIT,133,1)="",),FALSE,TRUE),TRUE)</f>
        <v>1</v>
      </c>
      <c r="H390" s="52" t="str">
        <f t="shared" si="13"/>
        <v xml:space="preserve">Row 133 - If ‘Total amount’ is given, then ‘Net / Gross’ and ‘Total amount unit’ are required </v>
      </c>
      <c r="I390" s="236" t="s">
        <v>1853</v>
      </c>
      <c r="J390" s="52" t="b">
        <f>IF(OR(INDEX(OHZ_HAZ_TOTAMOUNT,133,1)&lt;&gt;"",),IF(OR(INDEX(OHZ_HAZ_TOTNETGROSS,133,1)="",INDEX(OHZ_HAZ_TOTUNIT,133,1)="",),FALSE,TRUE),TRUE)</f>
        <v>1</v>
      </c>
      <c r="K390" s="52" t="str">
        <f t="shared" si="14"/>
        <v xml:space="preserve">Row 133 - If ‘Total amount’ is given, then ‘Net / Gross’ and ‘Total amount unit’ are required </v>
      </c>
      <c r="L390" s="236" t="s">
        <v>1853</v>
      </c>
    </row>
    <row r="391" spans="6:12">
      <c r="F391" s="236" t="s">
        <v>1853</v>
      </c>
      <c r="G391" s="250" t="b">
        <f>IF(OR(INDEX(IHZ_HAZ_TOTAMOUNT,134,1)&lt;&gt;"",),IF(OR(INDEX(IHZ_HAZ_TOTNETGROSS,134,1)="",INDEX(IHZ_HAZ_TOTUNIT,134,1)="",),FALSE,TRUE),TRUE)</f>
        <v>1</v>
      </c>
      <c r="H391" s="52" t="str">
        <f t="shared" si="13"/>
        <v xml:space="preserve">Row 134 - If ‘Total amount’ is given, then ‘Net / Gross’ and ‘Total amount unit’ are required </v>
      </c>
      <c r="I391" s="236" t="s">
        <v>1853</v>
      </c>
      <c r="J391" s="52" t="b">
        <f>IF(OR(INDEX(OHZ_HAZ_TOTAMOUNT,134,1)&lt;&gt;"",),IF(OR(INDEX(OHZ_HAZ_TOTNETGROSS,134,1)="",INDEX(OHZ_HAZ_TOTUNIT,134,1)="",),FALSE,TRUE),TRUE)</f>
        <v>1</v>
      </c>
      <c r="K391" s="52" t="str">
        <f t="shared" si="14"/>
        <v xml:space="preserve">Row 134 - If ‘Total amount’ is given, then ‘Net / Gross’ and ‘Total amount unit’ are required </v>
      </c>
      <c r="L391" s="236" t="s">
        <v>1853</v>
      </c>
    </row>
    <row r="392" spans="6:12">
      <c r="F392" s="236" t="s">
        <v>1853</v>
      </c>
      <c r="G392" s="250" t="b">
        <f>IF(OR(INDEX(IHZ_HAZ_TOTAMOUNT,135,1)&lt;&gt;"",),IF(OR(INDEX(IHZ_HAZ_TOTNETGROSS,135,1)="",INDEX(IHZ_HAZ_TOTUNIT,135,1)="",),FALSE,TRUE),TRUE)</f>
        <v>1</v>
      </c>
      <c r="H392" s="52" t="str">
        <f t="shared" si="13"/>
        <v xml:space="preserve">Row 135 - If ‘Total amount’ is given, then ‘Net / Gross’ and ‘Total amount unit’ are required </v>
      </c>
      <c r="I392" s="236" t="s">
        <v>1853</v>
      </c>
      <c r="J392" s="52" t="b">
        <f>IF(OR(INDEX(OHZ_HAZ_TOTAMOUNT,135,1)&lt;&gt;"",),IF(OR(INDEX(OHZ_HAZ_TOTNETGROSS,135,1)="",INDEX(OHZ_HAZ_TOTUNIT,135,1)="",),FALSE,TRUE),TRUE)</f>
        <v>1</v>
      </c>
      <c r="K392" s="52" t="str">
        <f t="shared" si="14"/>
        <v xml:space="preserve">Row 135 - If ‘Total amount’ is given, then ‘Net / Gross’ and ‘Total amount unit’ are required </v>
      </c>
      <c r="L392" s="236" t="s">
        <v>1853</v>
      </c>
    </row>
    <row r="393" spans="6:12">
      <c r="F393" s="236" t="s">
        <v>1853</v>
      </c>
      <c r="G393" s="250" t="b">
        <f>IF(OR(INDEX(IHZ_HAZ_TOTAMOUNT,136,1)&lt;&gt;"",),IF(OR(INDEX(IHZ_HAZ_TOTNETGROSS,136,1)="",INDEX(IHZ_HAZ_TOTUNIT,136,1)="",),FALSE,TRUE),TRUE)</f>
        <v>1</v>
      </c>
      <c r="H393" s="52" t="str">
        <f t="shared" si="13"/>
        <v xml:space="preserve">Row 136 - If ‘Total amount’ is given, then ‘Net / Gross’ and ‘Total amount unit’ are required </v>
      </c>
      <c r="I393" s="236" t="s">
        <v>1853</v>
      </c>
      <c r="J393" s="52" t="b">
        <f>IF(OR(INDEX(OHZ_HAZ_TOTAMOUNT,136,1)&lt;&gt;"",),IF(OR(INDEX(OHZ_HAZ_TOTNETGROSS,136,1)="",INDEX(OHZ_HAZ_TOTUNIT,136,1)="",),FALSE,TRUE),TRUE)</f>
        <v>1</v>
      </c>
      <c r="K393" s="52" t="str">
        <f t="shared" si="14"/>
        <v xml:space="preserve">Row 136 - If ‘Total amount’ is given, then ‘Net / Gross’ and ‘Total amount unit’ are required </v>
      </c>
      <c r="L393" s="236" t="s">
        <v>1853</v>
      </c>
    </row>
    <row r="394" spans="6:12">
      <c r="F394" s="236" t="s">
        <v>1853</v>
      </c>
      <c r="G394" s="250" t="b">
        <f>IF(OR(INDEX(IHZ_HAZ_TOTAMOUNT,137,1)&lt;&gt;"",),IF(OR(INDEX(IHZ_HAZ_TOTNETGROSS,137,1)="",INDEX(IHZ_HAZ_TOTUNIT,137,1)="",),FALSE,TRUE),TRUE)</f>
        <v>1</v>
      </c>
      <c r="H394" s="52" t="str">
        <f t="shared" si="13"/>
        <v xml:space="preserve">Row 137 - If ‘Total amount’ is given, then ‘Net / Gross’ and ‘Total amount unit’ are required </v>
      </c>
      <c r="I394" s="236" t="s">
        <v>1853</v>
      </c>
      <c r="J394" s="52" t="b">
        <f>IF(OR(INDEX(OHZ_HAZ_TOTAMOUNT,137,1)&lt;&gt;"",),IF(OR(INDEX(OHZ_HAZ_TOTNETGROSS,137,1)="",INDEX(OHZ_HAZ_TOTUNIT,137,1)="",),FALSE,TRUE),TRUE)</f>
        <v>1</v>
      </c>
      <c r="K394" s="52" t="str">
        <f t="shared" si="14"/>
        <v xml:space="preserve">Row 137 - If ‘Total amount’ is given, then ‘Net / Gross’ and ‘Total amount unit’ are required </v>
      </c>
      <c r="L394" s="236" t="s">
        <v>1853</v>
      </c>
    </row>
    <row r="395" spans="6:12">
      <c r="F395" s="236" t="s">
        <v>1853</v>
      </c>
      <c r="G395" s="250" t="b">
        <f>IF(OR(INDEX(IHZ_HAZ_TOTAMOUNT,138,1)&lt;&gt;"",),IF(OR(INDEX(IHZ_HAZ_TOTNETGROSS,138,1)="",INDEX(IHZ_HAZ_TOTUNIT,138,1)="",),FALSE,TRUE),TRUE)</f>
        <v>1</v>
      </c>
      <c r="H395" s="52" t="str">
        <f t="shared" si="13"/>
        <v xml:space="preserve">Row 138 - If ‘Total amount’ is given, then ‘Net / Gross’ and ‘Total amount unit’ are required </v>
      </c>
      <c r="I395" s="236" t="s">
        <v>1853</v>
      </c>
      <c r="J395" s="52" t="b">
        <f>IF(OR(INDEX(OHZ_HAZ_TOTAMOUNT,138,1)&lt;&gt;"",),IF(OR(INDEX(OHZ_HAZ_TOTNETGROSS,138,1)="",INDEX(OHZ_HAZ_TOTUNIT,138,1)="",),FALSE,TRUE),TRUE)</f>
        <v>1</v>
      </c>
      <c r="K395" s="52" t="str">
        <f t="shared" si="14"/>
        <v xml:space="preserve">Row 138 - If ‘Total amount’ is given, then ‘Net / Gross’ and ‘Total amount unit’ are required </v>
      </c>
      <c r="L395" s="236" t="s">
        <v>1853</v>
      </c>
    </row>
    <row r="396" spans="6:12">
      <c r="F396" s="236" t="s">
        <v>1853</v>
      </c>
      <c r="G396" s="250" t="b">
        <f>IF(OR(INDEX(IHZ_HAZ_TOTAMOUNT,139,1)&lt;&gt;"",),IF(OR(INDEX(IHZ_HAZ_TOTNETGROSS,139,1)="",INDEX(IHZ_HAZ_TOTUNIT,139,1)="",),FALSE,TRUE),TRUE)</f>
        <v>1</v>
      </c>
      <c r="H396" s="52" t="str">
        <f t="shared" si="13"/>
        <v xml:space="preserve">Row 139 - If ‘Total amount’ is given, then ‘Net / Gross’ and ‘Total amount unit’ are required </v>
      </c>
      <c r="I396" s="236" t="s">
        <v>1853</v>
      </c>
      <c r="J396" s="52" t="b">
        <f>IF(OR(INDEX(OHZ_HAZ_TOTAMOUNT,139,1)&lt;&gt;"",),IF(OR(INDEX(OHZ_HAZ_TOTNETGROSS,139,1)="",INDEX(OHZ_HAZ_TOTUNIT,139,1)="",),FALSE,TRUE),TRUE)</f>
        <v>1</v>
      </c>
      <c r="K396" s="52" t="str">
        <f t="shared" si="14"/>
        <v xml:space="preserve">Row 139 - If ‘Total amount’ is given, then ‘Net / Gross’ and ‘Total amount unit’ are required </v>
      </c>
      <c r="L396" s="236" t="s">
        <v>1853</v>
      </c>
    </row>
    <row r="397" spans="6:12">
      <c r="G397" s="250" t="b">
        <f>IF(OR(INDEX(IHZ_HAZ_TOTAMOUNT,140,1)&lt;&gt;"",),IF(OR(INDEX(IHZ_HAZ_TOTNETGROSS,140,1)="",INDEX(IHZ_HAZ_TOTUNIT,140,1)="",),FALSE,TRUE),TRUE)</f>
        <v>1</v>
      </c>
      <c r="H397" s="52" t="str">
        <f t="shared" si="13"/>
        <v xml:space="preserve">Row 140 - If ‘Total amount’ is given, then ‘Net / Gross’ and ‘Total amount unit’ are required </v>
      </c>
      <c r="I397" s="236" t="s">
        <v>1853</v>
      </c>
      <c r="J397" s="52" t="b">
        <f>IF(OR(INDEX(OHZ_HAZ_TOTAMOUNT,140,1)&lt;&gt;"",),IF(OR(INDEX(OHZ_HAZ_TOTNETGROSS,140,1)="",INDEX(OHZ_HAZ_TOTUNIT,140,1)="",),FALSE,TRUE),TRUE)</f>
        <v>1</v>
      </c>
      <c r="K397" s="52" t="str">
        <f t="shared" si="14"/>
        <v xml:space="preserve">Row 140 - If ‘Total amount’ is given, then ‘Net / Gross’ and ‘Total amount unit’ are required </v>
      </c>
      <c r="L397" s="236" t="s">
        <v>1853</v>
      </c>
    </row>
    <row r="398" spans="6:12">
      <c r="G398" s="250" t="b">
        <f>IF(OR(INDEX(IHZ_HAZ_TOTAMOUNT,141,1)&lt;&gt;"",),IF(OR(INDEX(IHZ_HAZ_TOTNETGROSS,141,1)="",INDEX(IHZ_HAZ_TOTUNIT,141,1)="",),FALSE,TRUE),TRUE)</f>
        <v>1</v>
      </c>
      <c r="H398" s="52" t="str">
        <f t="shared" si="13"/>
        <v xml:space="preserve">Row 141 - If ‘Total amount’ is given, then ‘Net / Gross’ and ‘Total amount unit’ are required </v>
      </c>
      <c r="I398" s="236" t="s">
        <v>1853</v>
      </c>
      <c r="J398" s="52" t="b">
        <f>IF(OR(INDEX(OHZ_HAZ_TOTAMOUNT,141,1)&lt;&gt;"",),IF(OR(INDEX(OHZ_HAZ_TOTNETGROSS,141,1)="",INDEX(OHZ_HAZ_TOTUNIT,141,1)="",),FALSE,TRUE),TRUE)</f>
        <v>1</v>
      </c>
      <c r="K398" s="52" t="str">
        <f t="shared" si="14"/>
        <v xml:space="preserve">Row 141 - If ‘Total amount’ is given, then ‘Net / Gross’ and ‘Total amount unit’ are required </v>
      </c>
      <c r="L398" s="236" t="s">
        <v>1853</v>
      </c>
    </row>
    <row r="399" spans="6:12">
      <c r="G399" s="250" t="b">
        <f>IF(OR(INDEX(IHZ_HAZ_TOTAMOUNT,142,1)&lt;&gt;"",),IF(OR(INDEX(IHZ_HAZ_TOTNETGROSS,142,1)="",INDEX(IHZ_HAZ_TOTUNIT,142,1)="",),FALSE,TRUE),TRUE)</f>
        <v>1</v>
      </c>
      <c r="H399" s="52" t="str">
        <f t="shared" si="13"/>
        <v xml:space="preserve">Row 142 - If ‘Total amount’ is given, then ‘Net / Gross’ and ‘Total amount unit’ are required </v>
      </c>
      <c r="I399" s="236" t="s">
        <v>1853</v>
      </c>
      <c r="J399" s="52" t="b">
        <f>IF(OR(INDEX(OHZ_HAZ_TOTAMOUNT,142,1)&lt;&gt;"",),IF(OR(INDEX(OHZ_HAZ_TOTNETGROSS,142,1)="",INDEX(OHZ_HAZ_TOTUNIT,142,1)="",),FALSE,TRUE),TRUE)</f>
        <v>1</v>
      </c>
      <c r="K399" s="52" t="str">
        <f t="shared" si="14"/>
        <v xml:space="preserve">Row 142 - If ‘Total amount’ is given, then ‘Net / Gross’ and ‘Total amount unit’ are required </v>
      </c>
      <c r="L399" s="236" t="s">
        <v>1853</v>
      </c>
    </row>
    <row r="400" spans="6:12">
      <c r="G400" s="250" t="b">
        <f>IF(OR(INDEX(IHZ_HAZ_TOTAMOUNT,143,1)&lt;&gt;"",),IF(OR(INDEX(IHZ_HAZ_TOTNETGROSS,143,1)="",INDEX(IHZ_HAZ_TOTUNIT,143,1)="",),FALSE,TRUE),TRUE)</f>
        <v>1</v>
      </c>
      <c r="H400" s="52" t="str">
        <f t="shared" si="13"/>
        <v xml:space="preserve">Row 143 - If ‘Total amount’ is given, then ‘Net / Gross’ and ‘Total amount unit’ are required </v>
      </c>
      <c r="I400" s="236" t="s">
        <v>1853</v>
      </c>
      <c r="J400" s="52" t="b">
        <f>IF(OR(INDEX(OHZ_HAZ_TOTAMOUNT,143,1)&lt;&gt;"",),IF(OR(INDEX(OHZ_HAZ_TOTNETGROSS,143,1)="",INDEX(OHZ_HAZ_TOTUNIT,143,1)="",),FALSE,TRUE),TRUE)</f>
        <v>1</v>
      </c>
      <c r="K400" s="52" t="str">
        <f t="shared" si="14"/>
        <v xml:space="preserve">Row 143 - If ‘Total amount’ is given, then ‘Net / Gross’ and ‘Total amount unit’ are required </v>
      </c>
      <c r="L400" s="236" t="s">
        <v>1853</v>
      </c>
    </row>
    <row r="401" spans="7:12">
      <c r="G401" s="250" t="b">
        <f>IF(OR(INDEX(IHZ_HAZ_TOTAMOUNT,144,1)&lt;&gt;"",),IF(OR(INDEX(IHZ_HAZ_TOTNETGROSS,144,1)="",INDEX(IHZ_HAZ_TOTUNIT,144,1)="",),FALSE,TRUE),TRUE)</f>
        <v>1</v>
      </c>
      <c r="H401" s="52" t="str">
        <f t="shared" si="13"/>
        <v xml:space="preserve">Row 144 - If ‘Total amount’ is given, then ‘Net / Gross’ and ‘Total amount unit’ are required </v>
      </c>
      <c r="I401" s="236" t="s">
        <v>1853</v>
      </c>
      <c r="J401" s="52" t="b">
        <f>IF(OR(INDEX(OHZ_HAZ_TOTAMOUNT,144,1)&lt;&gt;"",),IF(OR(INDEX(OHZ_HAZ_TOTNETGROSS,144,1)="",INDEX(OHZ_HAZ_TOTUNIT,144,1)="",),FALSE,TRUE),TRUE)</f>
        <v>1</v>
      </c>
      <c r="K401" s="52" t="str">
        <f t="shared" si="14"/>
        <v xml:space="preserve">Row 144 - If ‘Total amount’ is given, then ‘Net / Gross’ and ‘Total amount unit’ are required </v>
      </c>
      <c r="L401" s="236" t="s">
        <v>1853</v>
      </c>
    </row>
    <row r="402" spans="7:12">
      <c r="G402" s="250" t="b">
        <f>IF(OR(INDEX(IHZ_HAZ_TOTAMOUNT,145,1)&lt;&gt;"",),IF(OR(INDEX(IHZ_HAZ_TOTNETGROSS,145,1)="",INDEX(IHZ_HAZ_TOTUNIT,145,1)="",),FALSE,TRUE),TRUE)</f>
        <v>1</v>
      </c>
      <c r="H402" s="52" t="str">
        <f t="shared" si="13"/>
        <v xml:space="preserve">Row 145 - If ‘Total amount’ is given, then ‘Net / Gross’ and ‘Total amount unit’ are required </v>
      </c>
      <c r="I402" s="236" t="s">
        <v>1853</v>
      </c>
      <c r="J402" s="52" t="b">
        <f>IF(OR(INDEX(OHZ_HAZ_TOTAMOUNT,145,1)&lt;&gt;"",),IF(OR(INDEX(OHZ_HAZ_TOTNETGROSS,145,1)="",INDEX(OHZ_HAZ_TOTUNIT,145,1)="",),FALSE,TRUE),TRUE)</f>
        <v>1</v>
      </c>
      <c r="K402" s="52" t="str">
        <f t="shared" si="14"/>
        <v xml:space="preserve">Row 145 - If ‘Total amount’ is given, then ‘Net / Gross’ and ‘Total amount unit’ are required </v>
      </c>
      <c r="L402" s="236" t="s">
        <v>1853</v>
      </c>
    </row>
    <row r="403" spans="7:12">
      <c r="G403" s="250" t="b">
        <f>IF(OR(INDEX(IHZ_HAZ_TOTAMOUNT,146,1)&lt;&gt;"",),IF(OR(INDEX(IHZ_HAZ_TOTNETGROSS,146,1)="",INDEX(IHZ_HAZ_TOTUNIT,146,1)="",),FALSE,TRUE),TRUE)</f>
        <v>1</v>
      </c>
      <c r="H403" s="52" t="str">
        <f t="shared" si="13"/>
        <v xml:space="preserve">Row 146 - If ‘Total amount’ is given, then ‘Net / Gross’ and ‘Total amount unit’ are required </v>
      </c>
      <c r="I403" s="236" t="s">
        <v>1853</v>
      </c>
      <c r="J403" s="52" t="b">
        <f>IF(OR(INDEX(OHZ_HAZ_TOTAMOUNT,146,1)&lt;&gt;"",),IF(OR(INDEX(OHZ_HAZ_TOTNETGROSS,146,1)="",INDEX(OHZ_HAZ_TOTUNIT,146,1)="",),FALSE,TRUE),TRUE)</f>
        <v>1</v>
      </c>
      <c r="K403" s="52" t="str">
        <f t="shared" si="14"/>
        <v xml:space="preserve">Row 146 - If ‘Total amount’ is given, then ‘Net / Gross’ and ‘Total amount unit’ are required </v>
      </c>
      <c r="L403" s="236" t="s">
        <v>1853</v>
      </c>
    </row>
    <row r="404" spans="7:12">
      <c r="G404" s="250" t="b">
        <f>IF(OR(INDEX(IHZ_HAZ_TOTAMOUNT,147,1)&lt;&gt;"",),IF(OR(INDEX(IHZ_HAZ_TOTNETGROSS,147,1)="",INDEX(IHZ_HAZ_TOTUNIT,147,1)="",),FALSE,TRUE),TRUE)</f>
        <v>1</v>
      </c>
      <c r="H404" s="52" t="str">
        <f t="shared" si="13"/>
        <v xml:space="preserve">Row 147 - If ‘Total amount’ is given, then ‘Net / Gross’ and ‘Total amount unit’ are required </v>
      </c>
      <c r="I404" s="236" t="s">
        <v>1853</v>
      </c>
      <c r="J404" s="52" t="b">
        <f>IF(OR(INDEX(OHZ_HAZ_TOTAMOUNT,147,1)&lt;&gt;"",),IF(OR(INDEX(OHZ_HAZ_TOTNETGROSS,147,1)="",INDEX(OHZ_HAZ_TOTUNIT,147,1)="",),FALSE,TRUE),TRUE)</f>
        <v>1</v>
      </c>
      <c r="K404" s="52" t="str">
        <f t="shared" si="14"/>
        <v xml:space="preserve">Row 147 - If ‘Total amount’ is given, then ‘Net / Gross’ and ‘Total amount unit’ are required </v>
      </c>
      <c r="L404" s="236" t="s">
        <v>1853</v>
      </c>
    </row>
    <row r="405" spans="7:12">
      <c r="G405" s="250" t="b">
        <f>IF(OR(INDEX(IHZ_HAZ_TOTAMOUNT,148,1)&lt;&gt;"",),IF(OR(INDEX(IHZ_HAZ_TOTNETGROSS,148,1)="",INDEX(IHZ_HAZ_TOTUNIT,148,1)="",),FALSE,TRUE),TRUE)</f>
        <v>1</v>
      </c>
      <c r="H405" s="52" t="str">
        <f t="shared" si="13"/>
        <v xml:space="preserve">Row 148 - If ‘Total amount’ is given, then ‘Net / Gross’ and ‘Total amount unit’ are required </v>
      </c>
      <c r="I405" s="236" t="s">
        <v>1853</v>
      </c>
      <c r="J405" s="52" t="b">
        <f>IF(OR(INDEX(OHZ_HAZ_TOTAMOUNT,148,1)&lt;&gt;"",),IF(OR(INDEX(OHZ_HAZ_TOTNETGROSS,148,1)="",INDEX(OHZ_HAZ_TOTUNIT,148,1)="",),FALSE,TRUE),TRUE)</f>
        <v>1</v>
      </c>
      <c r="K405" s="52" t="str">
        <f t="shared" si="14"/>
        <v xml:space="preserve">Row 148 - If ‘Total amount’ is given, then ‘Net / Gross’ and ‘Total amount unit’ are required </v>
      </c>
      <c r="L405" s="236" t="s">
        <v>1853</v>
      </c>
    </row>
    <row r="406" spans="7:12">
      <c r="G406" s="250" t="b">
        <f>IF(OR(INDEX(IHZ_HAZ_TOTAMOUNT,149,1)&lt;&gt;"",),IF(OR(INDEX(IHZ_HAZ_TOTNETGROSS,149,1)="",INDEX(IHZ_HAZ_TOTUNIT,149,1)="",),FALSE,TRUE),TRUE)</f>
        <v>1</v>
      </c>
      <c r="H406" s="52" t="str">
        <f t="shared" si="13"/>
        <v xml:space="preserve">Row 149 - If ‘Total amount’ is given, then ‘Net / Gross’ and ‘Total amount unit’ are required </v>
      </c>
      <c r="I406" s="236" t="s">
        <v>1853</v>
      </c>
      <c r="J406" s="52" t="b">
        <f>IF(OR(INDEX(OHZ_HAZ_TOTAMOUNT,149,1)&lt;&gt;"",),IF(OR(INDEX(OHZ_HAZ_TOTNETGROSS,149,1)="",INDEX(OHZ_HAZ_TOTUNIT,149,1)="",),FALSE,TRUE),TRUE)</f>
        <v>1</v>
      </c>
      <c r="K406" s="52" t="str">
        <f t="shared" si="14"/>
        <v xml:space="preserve">Row 149 - If ‘Total amount’ is given, then ‘Net / Gross’ and ‘Total amount unit’ are required </v>
      </c>
      <c r="L406" s="236" t="s">
        <v>1853</v>
      </c>
    </row>
    <row r="407" spans="7:12">
      <c r="G407" s="250" t="b">
        <f>IF(OR(INDEX(IHZ_HAZ_TOTAMOUNT,150,1)&lt;&gt;"",),IF(OR(INDEX(IHZ_HAZ_TOTNETGROSS,150,1)="",INDEX(IHZ_HAZ_TOTUNIT,150,1)="",),FALSE,TRUE),TRUE)</f>
        <v>1</v>
      </c>
      <c r="H407" s="52" t="str">
        <f t="shared" si="13"/>
        <v xml:space="preserve">Row 150 - If ‘Total amount’ is given, then ‘Net / Gross’ and ‘Total amount unit’ are required </v>
      </c>
      <c r="I407" s="236" t="s">
        <v>1853</v>
      </c>
      <c r="J407" s="52" t="b">
        <f>IF(OR(INDEX(OHZ_HAZ_TOTAMOUNT,150,1)&lt;&gt;"",),IF(OR(INDEX(OHZ_HAZ_TOTNETGROSS,150,1)="",INDEX(OHZ_HAZ_TOTUNIT,150,1)="",),FALSE,TRUE),TRUE)</f>
        <v>1</v>
      </c>
      <c r="K407" s="52" t="str">
        <f t="shared" si="14"/>
        <v xml:space="preserve">Row 150 - If ‘Total amount’ is given, then ‘Net / Gross’ and ‘Total amount unit’ are required </v>
      </c>
      <c r="L407" s="236" t="s">
        <v>1853</v>
      </c>
    </row>
    <row r="408" spans="7:12">
      <c r="G408" s="250" t="b">
        <f>IF(OR(INDEX(IHZ_HAZ_TOTAMOUNT,151,1)&lt;&gt;"",),IF(OR(INDEX(IHZ_HAZ_TOTNETGROSS,151,1)="",INDEX(IHZ_HAZ_TOTUNIT,151,1)="",),FALSE,TRUE),TRUE)</f>
        <v>1</v>
      </c>
      <c r="H408" s="52" t="str">
        <f t="shared" si="13"/>
        <v xml:space="preserve">Row 151 - If ‘Total amount’ is given, then ‘Net / Gross’ and ‘Total amount unit’ are required </v>
      </c>
      <c r="I408" s="236" t="s">
        <v>1853</v>
      </c>
      <c r="J408" s="52" t="b">
        <f>IF(OR(INDEX(OHZ_HAZ_TOTAMOUNT,151,1)&lt;&gt;"",),IF(OR(INDEX(OHZ_HAZ_TOTNETGROSS,151,1)="",INDEX(OHZ_HAZ_TOTUNIT,151,1)="",),FALSE,TRUE),TRUE)</f>
        <v>1</v>
      </c>
      <c r="K408" s="52" t="str">
        <f t="shared" si="14"/>
        <v xml:space="preserve">Row 151 - If ‘Total amount’ is given, then ‘Net / Gross’ and ‘Total amount unit’ are required </v>
      </c>
      <c r="L408" s="236" t="s">
        <v>1853</v>
      </c>
    </row>
    <row r="409" spans="7:12">
      <c r="G409" s="250" t="b">
        <f>IF(OR(INDEX(IHZ_HAZ_TOTAMOUNT,152,1)&lt;&gt;"",),IF(OR(INDEX(IHZ_HAZ_TOTNETGROSS,152,1)="",INDEX(IHZ_HAZ_TOTUNIT,152,1)="",),FALSE,TRUE),TRUE)</f>
        <v>1</v>
      </c>
      <c r="H409" s="52" t="str">
        <f t="shared" si="13"/>
        <v xml:space="preserve">Row 152 - If ‘Total amount’ is given, then ‘Net / Gross’ and ‘Total amount unit’ are required </v>
      </c>
      <c r="I409" s="236" t="s">
        <v>1853</v>
      </c>
      <c r="J409" s="52" t="b">
        <f>IF(OR(INDEX(OHZ_HAZ_TOTAMOUNT,152,1)&lt;&gt;"",),IF(OR(INDEX(OHZ_HAZ_TOTNETGROSS,152,1)="",INDEX(OHZ_HAZ_TOTUNIT,152,1)="",),FALSE,TRUE),TRUE)</f>
        <v>1</v>
      </c>
      <c r="K409" s="52" t="str">
        <f t="shared" si="14"/>
        <v xml:space="preserve">Row 152 - If ‘Total amount’ is given, then ‘Net / Gross’ and ‘Total amount unit’ are required </v>
      </c>
      <c r="L409" s="236" t="s">
        <v>1853</v>
      </c>
    </row>
    <row r="410" spans="7:12">
      <c r="G410" s="250" t="b">
        <f>IF(OR(INDEX(IHZ_HAZ_TOTAMOUNT,153,1)&lt;&gt;"",),IF(OR(INDEX(IHZ_HAZ_TOTNETGROSS,153,1)="",INDEX(IHZ_HAZ_TOTUNIT,153,1)="",),FALSE,TRUE),TRUE)</f>
        <v>1</v>
      </c>
      <c r="H410" s="52" t="str">
        <f t="shared" si="13"/>
        <v xml:space="preserve">Row 153 - If ‘Total amount’ is given, then ‘Net / Gross’ and ‘Total amount unit’ are required </v>
      </c>
      <c r="I410" s="236" t="s">
        <v>1853</v>
      </c>
      <c r="J410" s="52" t="b">
        <f>IF(OR(INDEX(OHZ_HAZ_TOTAMOUNT,153,1)&lt;&gt;"",),IF(OR(INDEX(OHZ_HAZ_TOTNETGROSS,153,1)="",INDEX(OHZ_HAZ_TOTUNIT,153,1)="",),FALSE,TRUE),TRUE)</f>
        <v>1</v>
      </c>
      <c r="K410" s="52" t="str">
        <f t="shared" si="14"/>
        <v xml:space="preserve">Row 153 - If ‘Total amount’ is given, then ‘Net / Gross’ and ‘Total amount unit’ are required </v>
      </c>
      <c r="L410" s="236" t="s">
        <v>1853</v>
      </c>
    </row>
    <row r="411" spans="7:12">
      <c r="G411" s="250" t="b">
        <f>IF(OR(INDEX(IHZ_HAZ_TOTAMOUNT,154,1)&lt;&gt;"",),IF(OR(INDEX(IHZ_HAZ_TOTNETGROSS,154,1)="",INDEX(IHZ_HAZ_TOTUNIT,154,1)="",),FALSE,TRUE),TRUE)</f>
        <v>1</v>
      </c>
      <c r="H411" s="52" t="str">
        <f t="shared" si="13"/>
        <v xml:space="preserve">Row 154 - If ‘Total amount’ is given, then ‘Net / Gross’ and ‘Total amount unit’ are required </v>
      </c>
      <c r="I411" s="236" t="s">
        <v>1853</v>
      </c>
      <c r="J411" s="52" t="b">
        <f>IF(OR(INDEX(OHZ_HAZ_TOTAMOUNT,154,1)&lt;&gt;"",),IF(OR(INDEX(OHZ_HAZ_TOTNETGROSS,154,1)="",INDEX(OHZ_HAZ_TOTUNIT,154,1)="",),FALSE,TRUE),TRUE)</f>
        <v>1</v>
      </c>
      <c r="K411" s="52" t="str">
        <f t="shared" si="14"/>
        <v xml:space="preserve">Row 154 - If ‘Total amount’ is given, then ‘Net / Gross’ and ‘Total amount unit’ are required </v>
      </c>
      <c r="L411" s="236" t="s">
        <v>1853</v>
      </c>
    </row>
    <row r="412" spans="7:12">
      <c r="G412" s="250" t="b">
        <f>IF(OR(INDEX(IHZ_HAZ_TOTAMOUNT,155,1)&lt;&gt;"",),IF(OR(INDEX(IHZ_HAZ_TOTNETGROSS,155,1)="",INDEX(IHZ_HAZ_TOTUNIT,155,1)="",),FALSE,TRUE),TRUE)</f>
        <v>1</v>
      </c>
      <c r="H412" s="52" t="str">
        <f t="shared" si="13"/>
        <v xml:space="preserve">Row 155 - If ‘Total amount’ is given, then ‘Net / Gross’ and ‘Total amount unit’ are required </v>
      </c>
      <c r="I412" s="236" t="s">
        <v>1853</v>
      </c>
      <c r="J412" s="52" t="b">
        <f>IF(OR(INDEX(OHZ_HAZ_TOTAMOUNT,155,1)&lt;&gt;"",),IF(OR(INDEX(OHZ_HAZ_TOTNETGROSS,155,1)="",INDEX(OHZ_HAZ_TOTUNIT,155,1)="",),FALSE,TRUE),TRUE)</f>
        <v>1</v>
      </c>
      <c r="K412" s="52" t="str">
        <f t="shared" si="14"/>
        <v xml:space="preserve">Row 155 - If ‘Total amount’ is given, then ‘Net / Gross’ and ‘Total amount unit’ are required </v>
      </c>
      <c r="L412" s="236" t="s">
        <v>1853</v>
      </c>
    </row>
    <row r="413" spans="7:12">
      <c r="G413" s="250" t="b">
        <f>IF(OR(INDEX(IHZ_HAZ_TOTAMOUNT,156,1)&lt;&gt;"",),IF(OR(INDEX(IHZ_HAZ_TOTNETGROSS,156,1)="",INDEX(IHZ_HAZ_TOTUNIT,156,1)="",),FALSE,TRUE),TRUE)</f>
        <v>1</v>
      </c>
      <c r="H413" s="52" t="str">
        <f t="shared" si="13"/>
        <v xml:space="preserve">Row 156 - If ‘Total amount’ is given, then ‘Net / Gross’ and ‘Total amount unit’ are required </v>
      </c>
      <c r="I413" s="236" t="s">
        <v>1853</v>
      </c>
      <c r="J413" s="52" t="b">
        <f>IF(OR(INDEX(OHZ_HAZ_TOTAMOUNT,156,1)&lt;&gt;"",),IF(OR(INDEX(OHZ_HAZ_TOTNETGROSS,156,1)="",INDEX(OHZ_HAZ_TOTUNIT,156,1)="",),FALSE,TRUE),TRUE)</f>
        <v>1</v>
      </c>
      <c r="K413" s="52" t="str">
        <f t="shared" si="14"/>
        <v xml:space="preserve">Row 156 - If ‘Total amount’ is given, then ‘Net / Gross’ and ‘Total amount unit’ are required </v>
      </c>
      <c r="L413" s="236" t="s">
        <v>1853</v>
      </c>
    </row>
    <row r="414" spans="7:12">
      <c r="G414" s="250" t="b">
        <f>IF(OR(INDEX(IHZ_HAZ_TOTAMOUNT,157,1)&lt;&gt;"",),IF(OR(INDEX(IHZ_HAZ_TOTNETGROSS,157,1)="",INDEX(IHZ_HAZ_TOTUNIT,157,1)="",),FALSE,TRUE),TRUE)</f>
        <v>1</v>
      </c>
      <c r="H414" s="52" t="str">
        <f t="shared" si="13"/>
        <v xml:space="preserve">Row 157 - If ‘Total amount’ is given, then ‘Net / Gross’ and ‘Total amount unit’ are required </v>
      </c>
      <c r="I414" s="236" t="s">
        <v>1853</v>
      </c>
      <c r="J414" s="52" t="b">
        <f>IF(OR(INDEX(OHZ_HAZ_TOTAMOUNT,157,1)&lt;&gt;"",),IF(OR(INDEX(OHZ_HAZ_TOTNETGROSS,157,1)="",INDEX(OHZ_HAZ_TOTUNIT,157,1)="",),FALSE,TRUE),TRUE)</f>
        <v>1</v>
      </c>
      <c r="K414" s="52" t="str">
        <f t="shared" si="14"/>
        <v xml:space="preserve">Row 157 - If ‘Total amount’ is given, then ‘Net / Gross’ and ‘Total amount unit’ are required </v>
      </c>
      <c r="L414" s="236" t="s">
        <v>1853</v>
      </c>
    </row>
    <row r="415" spans="7:12">
      <c r="G415" s="250" t="b">
        <f>IF(OR(INDEX(IHZ_HAZ_TOTAMOUNT,158,1)&lt;&gt;"",),IF(OR(INDEX(IHZ_HAZ_TOTNETGROSS,158,1)="",INDEX(IHZ_HAZ_TOTUNIT,158,1)="",),FALSE,TRUE),TRUE)</f>
        <v>1</v>
      </c>
      <c r="H415" s="52" t="str">
        <f t="shared" si="13"/>
        <v xml:space="preserve">Row 158 - If ‘Total amount’ is given, then ‘Net / Gross’ and ‘Total amount unit’ are required </v>
      </c>
      <c r="I415" s="236" t="s">
        <v>1853</v>
      </c>
      <c r="J415" s="52" t="b">
        <f>IF(OR(INDEX(OHZ_HAZ_TOTAMOUNT,158,1)&lt;&gt;"",),IF(OR(INDEX(OHZ_HAZ_TOTNETGROSS,158,1)="",INDEX(OHZ_HAZ_TOTUNIT,158,1)="",),FALSE,TRUE),TRUE)</f>
        <v>1</v>
      </c>
      <c r="K415" s="52" t="str">
        <f t="shared" si="14"/>
        <v xml:space="preserve">Row 158 - If ‘Total amount’ is given, then ‘Net / Gross’ and ‘Total amount unit’ are required </v>
      </c>
      <c r="L415" s="236" t="s">
        <v>1853</v>
      </c>
    </row>
    <row r="416" spans="7:12">
      <c r="G416" s="250" t="b">
        <f>IF(OR(INDEX(IHZ_HAZ_TOTAMOUNT,159,1)&lt;&gt;"",),IF(OR(INDEX(IHZ_HAZ_TOTNETGROSS,159,1)="",INDEX(IHZ_HAZ_TOTUNIT,159,1)="",),FALSE,TRUE),TRUE)</f>
        <v>1</v>
      </c>
      <c r="H416" s="52" t="str">
        <f t="shared" si="13"/>
        <v xml:space="preserve">Row 159 - If ‘Total amount’ is given, then ‘Net / Gross’ and ‘Total amount unit’ are required </v>
      </c>
      <c r="I416" s="236" t="s">
        <v>1853</v>
      </c>
      <c r="J416" s="52" t="b">
        <f>IF(OR(INDEX(OHZ_HAZ_TOTAMOUNT,159,1)&lt;&gt;"",),IF(OR(INDEX(OHZ_HAZ_TOTNETGROSS,159,1)="",INDEX(OHZ_HAZ_TOTUNIT,159,1)="",),FALSE,TRUE),TRUE)</f>
        <v>1</v>
      </c>
      <c r="K416" s="52" t="str">
        <f t="shared" si="14"/>
        <v xml:space="preserve">Row 159 - If ‘Total amount’ is given, then ‘Net / Gross’ and ‘Total amount unit’ are required </v>
      </c>
      <c r="L416" s="236" t="s">
        <v>1853</v>
      </c>
    </row>
    <row r="417" spans="7:12">
      <c r="G417" s="250" t="b">
        <f>IF(OR(INDEX(IHZ_HAZ_TOTAMOUNT,160,1)&lt;&gt;"",),IF(OR(INDEX(IHZ_HAZ_TOTNETGROSS,160,1)="",INDEX(IHZ_HAZ_TOTUNIT,160,1)="",),FALSE,TRUE),TRUE)</f>
        <v>1</v>
      </c>
      <c r="H417" s="52" t="str">
        <f t="shared" si="13"/>
        <v xml:space="preserve">Row 160 - If ‘Total amount’ is given, then ‘Net / Gross’ and ‘Total amount unit’ are required </v>
      </c>
      <c r="I417" s="236" t="s">
        <v>1853</v>
      </c>
      <c r="J417" s="52" t="b">
        <f>IF(OR(INDEX(OHZ_HAZ_TOTAMOUNT,160,1)&lt;&gt;"",),IF(OR(INDEX(OHZ_HAZ_TOTNETGROSS,160,1)="",INDEX(OHZ_HAZ_TOTUNIT,160,1)="",),FALSE,TRUE),TRUE)</f>
        <v>1</v>
      </c>
      <c r="K417" s="52" t="str">
        <f t="shared" si="14"/>
        <v xml:space="preserve">Row 160 - If ‘Total amount’ is given, then ‘Net / Gross’ and ‘Total amount unit’ are required </v>
      </c>
      <c r="L417" s="236" t="s">
        <v>1853</v>
      </c>
    </row>
    <row r="418" spans="7:12">
      <c r="G418" s="250" t="b">
        <f>IF(OR(INDEX(IHZ_HAZ_TOTAMOUNT,161,1)&lt;&gt;"",),IF(OR(INDEX(IHZ_HAZ_TOTNETGROSS,161,1)="",INDEX(IHZ_HAZ_TOTUNIT,161,1)="",),FALSE,TRUE),TRUE)</f>
        <v>1</v>
      </c>
      <c r="H418" s="52" t="str">
        <f t="shared" si="13"/>
        <v xml:space="preserve">Row 161 - If ‘Total amount’ is given, then ‘Net / Gross’ and ‘Total amount unit’ are required </v>
      </c>
      <c r="I418" s="236" t="s">
        <v>1853</v>
      </c>
      <c r="J418" s="52" t="b">
        <f>IF(OR(INDEX(OHZ_HAZ_TOTAMOUNT,161,1)&lt;&gt;"",),IF(OR(INDEX(OHZ_HAZ_TOTNETGROSS,161,1)="",INDEX(OHZ_HAZ_TOTUNIT,161,1)="",),FALSE,TRUE),TRUE)</f>
        <v>1</v>
      </c>
      <c r="K418" s="52" t="str">
        <f t="shared" si="14"/>
        <v xml:space="preserve">Row 161 - If ‘Total amount’ is given, then ‘Net / Gross’ and ‘Total amount unit’ are required </v>
      </c>
      <c r="L418" s="236" t="s">
        <v>1853</v>
      </c>
    </row>
    <row r="419" spans="7:12">
      <c r="G419" s="250" t="b">
        <f>IF(OR(INDEX(IHZ_HAZ_TOTAMOUNT,162,1)&lt;&gt;"",),IF(OR(INDEX(IHZ_HAZ_TOTNETGROSS,162,1)="",INDEX(IHZ_HAZ_TOTUNIT,162,1)="",),FALSE,TRUE),TRUE)</f>
        <v>1</v>
      </c>
      <c r="H419" s="52" t="str">
        <f t="shared" si="13"/>
        <v xml:space="preserve">Row 162 - If ‘Total amount’ is given, then ‘Net / Gross’ and ‘Total amount unit’ are required </v>
      </c>
      <c r="I419" s="236" t="s">
        <v>1853</v>
      </c>
      <c r="J419" s="52" t="b">
        <f>IF(OR(INDEX(OHZ_HAZ_TOTAMOUNT,162,1)&lt;&gt;"",),IF(OR(INDEX(OHZ_HAZ_TOTNETGROSS,162,1)="",INDEX(OHZ_HAZ_TOTUNIT,162,1)="",),FALSE,TRUE),TRUE)</f>
        <v>1</v>
      </c>
      <c r="K419" s="52" t="str">
        <f t="shared" si="14"/>
        <v xml:space="preserve">Row 162 - If ‘Total amount’ is given, then ‘Net / Gross’ and ‘Total amount unit’ are required </v>
      </c>
      <c r="L419" s="236" t="s">
        <v>1853</v>
      </c>
    </row>
    <row r="420" spans="7:12">
      <c r="G420" s="250" t="b">
        <f>IF(OR(INDEX(IHZ_HAZ_TOTAMOUNT,163,1)&lt;&gt;"",),IF(OR(INDEX(IHZ_HAZ_TOTNETGROSS,163,1)="",INDEX(IHZ_HAZ_TOTUNIT,163,1)="",),FALSE,TRUE),TRUE)</f>
        <v>1</v>
      </c>
      <c r="H420" s="52" t="str">
        <f t="shared" si="13"/>
        <v xml:space="preserve">Row 163 - If ‘Total amount’ is given, then ‘Net / Gross’ and ‘Total amount unit’ are required </v>
      </c>
      <c r="I420" s="236" t="s">
        <v>1853</v>
      </c>
      <c r="J420" s="52" t="b">
        <f>IF(OR(INDEX(OHZ_HAZ_TOTAMOUNT,163,1)&lt;&gt;"",),IF(OR(INDEX(OHZ_HAZ_TOTNETGROSS,163,1)="",INDEX(OHZ_HAZ_TOTUNIT,163,1)="",),FALSE,TRUE),TRUE)</f>
        <v>1</v>
      </c>
      <c r="K420" s="52" t="str">
        <f t="shared" si="14"/>
        <v xml:space="preserve">Row 163 - If ‘Total amount’ is given, then ‘Net / Gross’ and ‘Total amount unit’ are required </v>
      </c>
      <c r="L420" s="236" t="s">
        <v>1853</v>
      </c>
    </row>
    <row r="421" spans="7:12">
      <c r="G421" s="250" t="b">
        <f>IF(OR(INDEX(IHZ_HAZ_TOTAMOUNT,164,1)&lt;&gt;"",),IF(OR(INDEX(IHZ_HAZ_TOTNETGROSS,164,1)="",INDEX(IHZ_HAZ_TOTUNIT,164,1)="",),FALSE,TRUE),TRUE)</f>
        <v>1</v>
      </c>
      <c r="H421" s="52" t="str">
        <f t="shared" si="13"/>
        <v xml:space="preserve">Row 164 - If ‘Total amount’ is given, then ‘Net / Gross’ and ‘Total amount unit’ are required </v>
      </c>
      <c r="I421" s="236" t="s">
        <v>1853</v>
      </c>
      <c r="J421" s="52" t="b">
        <f>IF(OR(INDEX(OHZ_HAZ_TOTAMOUNT,164,1)&lt;&gt;"",),IF(OR(INDEX(OHZ_HAZ_TOTNETGROSS,164,1)="",INDEX(OHZ_HAZ_TOTUNIT,164,1)="",),FALSE,TRUE),TRUE)</f>
        <v>1</v>
      </c>
      <c r="K421" s="52" t="str">
        <f t="shared" si="14"/>
        <v xml:space="preserve">Row 164 - If ‘Total amount’ is given, then ‘Net / Gross’ and ‘Total amount unit’ are required </v>
      </c>
      <c r="L421" s="236" t="s">
        <v>1853</v>
      </c>
    </row>
    <row r="422" spans="7:12">
      <c r="G422" s="250" t="b">
        <f>IF(OR(INDEX(IHZ_HAZ_TOTAMOUNT,165,1)&lt;&gt;"",),IF(OR(INDEX(IHZ_HAZ_TOTNETGROSS,165,1)="",INDEX(IHZ_HAZ_TOTUNIT,165,1)="",),FALSE,TRUE),TRUE)</f>
        <v>1</v>
      </c>
      <c r="H422" s="52" t="str">
        <f t="shared" si="13"/>
        <v xml:space="preserve">Row 165 - If ‘Total amount’ is given, then ‘Net / Gross’ and ‘Total amount unit’ are required </v>
      </c>
      <c r="I422" s="236" t="s">
        <v>1853</v>
      </c>
      <c r="J422" s="52" t="b">
        <f>IF(OR(INDEX(OHZ_HAZ_TOTAMOUNT,165,1)&lt;&gt;"",),IF(OR(INDEX(OHZ_HAZ_TOTNETGROSS,165,1)="",INDEX(OHZ_HAZ_TOTUNIT,165,1)="",),FALSE,TRUE),TRUE)</f>
        <v>1</v>
      </c>
      <c r="K422" s="52" t="str">
        <f t="shared" si="14"/>
        <v xml:space="preserve">Row 165 - If ‘Total amount’ is given, then ‘Net / Gross’ and ‘Total amount unit’ are required </v>
      </c>
      <c r="L422" s="236" t="s">
        <v>1853</v>
      </c>
    </row>
    <row r="423" spans="7:12">
      <c r="G423" s="250" t="b">
        <f>IF(OR(INDEX(IHZ_HAZ_TOTAMOUNT,166,1)&lt;&gt;"",),IF(OR(INDEX(IHZ_HAZ_TOTNETGROSS,166,1)="",INDEX(IHZ_HAZ_TOTUNIT,166,1)="",),FALSE,TRUE),TRUE)</f>
        <v>1</v>
      </c>
      <c r="H423" s="52" t="str">
        <f t="shared" si="13"/>
        <v xml:space="preserve">Row 166 - If ‘Total amount’ is given, then ‘Net / Gross’ and ‘Total amount unit’ are required </v>
      </c>
      <c r="I423" s="236" t="s">
        <v>1853</v>
      </c>
      <c r="J423" s="52" t="b">
        <f>IF(OR(INDEX(OHZ_HAZ_TOTAMOUNT,166,1)&lt;&gt;"",),IF(OR(INDEX(OHZ_HAZ_TOTNETGROSS,166,1)="",INDEX(OHZ_HAZ_TOTUNIT,166,1)="",),FALSE,TRUE),TRUE)</f>
        <v>1</v>
      </c>
      <c r="K423" s="52" t="str">
        <f t="shared" si="14"/>
        <v xml:space="preserve">Row 166 - If ‘Total amount’ is given, then ‘Net / Gross’ and ‘Total amount unit’ are required </v>
      </c>
      <c r="L423" s="236" t="s">
        <v>1853</v>
      </c>
    </row>
    <row r="424" spans="7:12">
      <c r="G424" s="250" t="b">
        <f>IF(OR(INDEX(IHZ_HAZ_TOTAMOUNT,167,1)&lt;&gt;"",),IF(OR(INDEX(IHZ_HAZ_TOTNETGROSS,167,1)="",INDEX(IHZ_HAZ_TOTUNIT,167,1)="",),FALSE,TRUE),TRUE)</f>
        <v>1</v>
      </c>
      <c r="H424" s="52" t="str">
        <f t="shared" si="13"/>
        <v xml:space="preserve">Row 167 - If ‘Total amount’ is given, then ‘Net / Gross’ and ‘Total amount unit’ are required </v>
      </c>
      <c r="I424" s="236" t="s">
        <v>1853</v>
      </c>
      <c r="J424" s="52" t="b">
        <f>IF(OR(INDEX(OHZ_HAZ_TOTAMOUNT,167,1)&lt;&gt;"",),IF(OR(INDEX(OHZ_HAZ_TOTNETGROSS,167,1)="",INDEX(OHZ_HAZ_TOTUNIT,167,1)="",),FALSE,TRUE),TRUE)</f>
        <v>1</v>
      </c>
      <c r="K424" s="52" t="str">
        <f t="shared" si="14"/>
        <v xml:space="preserve">Row 167 - If ‘Total amount’ is given, then ‘Net / Gross’ and ‘Total amount unit’ are required </v>
      </c>
      <c r="L424" s="236" t="s">
        <v>1853</v>
      </c>
    </row>
    <row r="425" spans="7:12">
      <c r="G425" s="250" t="b">
        <f>IF(OR(INDEX(IHZ_HAZ_TOTAMOUNT,168,1)&lt;&gt;"",),IF(OR(INDEX(IHZ_HAZ_TOTNETGROSS,168,1)="",INDEX(IHZ_HAZ_TOTUNIT,168,1)="",),FALSE,TRUE),TRUE)</f>
        <v>1</v>
      </c>
      <c r="H425" s="52" t="str">
        <f t="shared" si="13"/>
        <v xml:space="preserve">Row 168 - If ‘Total amount’ is given, then ‘Net / Gross’ and ‘Total amount unit’ are required </v>
      </c>
      <c r="I425" s="236" t="s">
        <v>1853</v>
      </c>
      <c r="J425" s="52" t="b">
        <f>IF(OR(INDEX(OHZ_HAZ_TOTAMOUNT,168,1)&lt;&gt;"",),IF(OR(INDEX(OHZ_HAZ_TOTNETGROSS,168,1)="",INDEX(OHZ_HAZ_TOTUNIT,168,1)="",),FALSE,TRUE),TRUE)</f>
        <v>1</v>
      </c>
      <c r="K425" s="52" t="str">
        <f t="shared" si="14"/>
        <v xml:space="preserve">Row 168 - If ‘Total amount’ is given, then ‘Net / Gross’ and ‘Total amount unit’ are required </v>
      </c>
      <c r="L425" s="236" t="s">
        <v>1853</v>
      </c>
    </row>
    <row r="426" spans="7:12">
      <c r="G426" s="250" t="b">
        <f>IF(OR(INDEX(IHZ_HAZ_TOTAMOUNT,169,1)&lt;&gt;"",),IF(OR(INDEX(IHZ_HAZ_TOTNETGROSS,169,1)="",INDEX(IHZ_HAZ_TOTUNIT,169,1)="",),FALSE,TRUE),TRUE)</f>
        <v>1</v>
      </c>
      <c r="H426" s="52" t="str">
        <f t="shared" si="13"/>
        <v xml:space="preserve">Row 169 - If ‘Total amount’ is given, then ‘Net / Gross’ and ‘Total amount unit’ are required </v>
      </c>
      <c r="I426" s="236" t="s">
        <v>1853</v>
      </c>
      <c r="J426" s="52" t="b">
        <f>IF(OR(INDEX(OHZ_HAZ_TOTAMOUNT,169,1)&lt;&gt;"",),IF(OR(INDEX(OHZ_HAZ_TOTNETGROSS,169,1)="",INDEX(OHZ_HAZ_TOTUNIT,169,1)="",),FALSE,TRUE),TRUE)</f>
        <v>1</v>
      </c>
      <c r="K426" s="52" t="str">
        <f t="shared" si="14"/>
        <v xml:space="preserve">Row 169 - If ‘Total amount’ is given, then ‘Net / Gross’ and ‘Total amount unit’ are required </v>
      </c>
      <c r="L426" s="236" t="s">
        <v>1853</v>
      </c>
    </row>
    <row r="427" spans="7:12">
      <c r="G427" s="250" t="b">
        <f>IF(OR(INDEX(IHZ_HAZ_TOTAMOUNT,170,1)&lt;&gt;"",),IF(OR(INDEX(IHZ_HAZ_TOTNETGROSS,170,1)="",INDEX(IHZ_HAZ_TOTUNIT,170,1)="",),FALSE,TRUE),TRUE)</f>
        <v>1</v>
      </c>
      <c r="H427" s="52" t="str">
        <f t="shared" si="13"/>
        <v xml:space="preserve">Row 170 - If ‘Total amount’ is given, then ‘Net / Gross’ and ‘Total amount unit’ are required </v>
      </c>
      <c r="I427" s="236" t="s">
        <v>1853</v>
      </c>
      <c r="J427" s="52" t="b">
        <f>IF(OR(INDEX(OHZ_HAZ_TOTAMOUNT,170,1)&lt;&gt;"",),IF(OR(INDEX(OHZ_HAZ_TOTNETGROSS,170,1)="",INDEX(OHZ_HAZ_TOTUNIT,170,1)="",),FALSE,TRUE),TRUE)</f>
        <v>1</v>
      </c>
      <c r="K427" s="52" t="str">
        <f t="shared" si="14"/>
        <v xml:space="preserve">Row 170 - If ‘Total amount’ is given, then ‘Net / Gross’ and ‘Total amount unit’ are required </v>
      </c>
      <c r="L427" s="236" t="s">
        <v>1853</v>
      </c>
    </row>
    <row r="428" spans="7:12">
      <c r="G428" s="250" t="b">
        <f>IF(OR(INDEX(IHZ_HAZ_TOTAMOUNT,171,1)&lt;&gt;"",),IF(OR(INDEX(IHZ_HAZ_TOTNETGROSS,171,1)="",INDEX(IHZ_HAZ_TOTUNIT,171,1)="",),FALSE,TRUE),TRUE)</f>
        <v>1</v>
      </c>
      <c r="H428" s="52" t="str">
        <f t="shared" si="13"/>
        <v xml:space="preserve">Row 171 - If ‘Total amount’ is given, then ‘Net / Gross’ and ‘Total amount unit’ are required </v>
      </c>
      <c r="I428" s="236" t="s">
        <v>1853</v>
      </c>
      <c r="J428" s="52" t="b">
        <f>IF(OR(INDEX(OHZ_HAZ_TOTAMOUNT,171,1)&lt;&gt;"",),IF(OR(INDEX(OHZ_HAZ_TOTNETGROSS,171,1)="",INDEX(OHZ_HAZ_TOTUNIT,171,1)="",),FALSE,TRUE),TRUE)</f>
        <v>1</v>
      </c>
      <c r="K428" s="52" t="str">
        <f t="shared" si="14"/>
        <v xml:space="preserve">Row 171 - If ‘Total amount’ is given, then ‘Net / Gross’ and ‘Total amount unit’ are required </v>
      </c>
      <c r="L428" s="236" t="s">
        <v>1853</v>
      </c>
    </row>
    <row r="429" spans="7:12">
      <c r="G429" s="250" t="b">
        <f>IF(OR(INDEX(IHZ_HAZ_TOTAMOUNT,172,1)&lt;&gt;"",),IF(OR(INDEX(IHZ_HAZ_TOTNETGROSS,172,1)="",INDEX(IHZ_HAZ_TOTUNIT,172,1)="",),FALSE,TRUE),TRUE)</f>
        <v>1</v>
      </c>
      <c r="H429" s="52" t="str">
        <f t="shared" si="13"/>
        <v xml:space="preserve">Row 172 - If ‘Total amount’ is given, then ‘Net / Gross’ and ‘Total amount unit’ are required </v>
      </c>
      <c r="I429" s="236" t="s">
        <v>1853</v>
      </c>
      <c r="J429" s="52" t="b">
        <f>IF(OR(INDEX(OHZ_HAZ_TOTAMOUNT,172,1)&lt;&gt;"",),IF(OR(INDEX(OHZ_HAZ_TOTNETGROSS,172,1)="",INDEX(OHZ_HAZ_TOTUNIT,172,1)="",),FALSE,TRUE),TRUE)</f>
        <v>1</v>
      </c>
      <c r="K429" s="52" t="str">
        <f t="shared" si="14"/>
        <v xml:space="preserve">Row 172 - If ‘Total amount’ is given, then ‘Net / Gross’ and ‘Total amount unit’ are required </v>
      </c>
      <c r="L429" s="236" t="s">
        <v>1853</v>
      </c>
    </row>
    <row r="430" spans="7:12">
      <c r="G430" s="250" t="b">
        <f>IF(OR(INDEX(IHZ_HAZ_TOTAMOUNT,173,1)&lt;&gt;"",),IF(OR(INDEX(IHZ_HAZ_TOTNETGROSS,173,1)="",INDEX(IHZ_HAZ_TOTUNIT,173,1)="",),FALSE,TRUE),TRUE)</f>
        <v>1</v>
      </c>
      <c r="H430" s="52" t="str">
        <f t="shared" si="13"/>
        <v xml:space="preserve">Row 173 - If ‘Total amount’ is given, then ‘Net / Gross’ and ‘Total amount unit’ are required </v>
      </c>
      <c r="I430" s="236" t="s">
        <v>1853</v>
      </c>
      <c r="J430" s="52" t="b">
        <f>IF(OR(INDEX(OHZ_HAZ_TOTAMOUNT,173,1)&lt;&gt;"",),IF(OR(INDEX(OHZ_HAZ_TOTNETGROSS,173,1)="",INDEX(OHZ_HAZ_TOTUNIT,173,1)="",),FALSE,TRUE),TRUE)</f>
        <v>1</v>
      </c>
      <c r="K430" s="52" t="str">
        <f t="shared" si="14"/>
        <v xml:space="preserve">Row 173 - If ‘Total amount’ is given, then ‘Net / Gross’ and ‘Total amount unit’ are required </v>
      </c>
      <c r="L430" s="236" t="s">
        <v>1853</v>
      </c>
    </row>
    <row r="431" spans="7:12">
      <c r="G431" s="250" t="b">
        <f>IF(OR(INDEX(IHZ_HAZ_TOTAMOUNT,174,1)&lt;&gt;"",),IF(OR(INDEX(IHZ_HAZ_TOTNETGROSS,174,1)="",INDEX(IHZ_HAZ_TOTUNIT,174,1)="",),FALSE,TRUE),TRUE)</f>
        <v>1</v>
      </c>
      <c r="H431" s="52" t="str">
        <f t="shared" si="13"/>
        <v xml:space="preserve">Row 174 - If ‘Total amount’ is given, then ‘Net / Gross’ and ‘Total amount unit’ are required </v>
      </c>
      <c r="I431" s="236" t="s">
        <v>1853</v>
      </c>
      <c r="J431" s="52" t="b">
        <f>IF(OR(INDEX(OHZ_HAZ_TOTAMOUNT,174,1)&lt;&gt;"",),IF(OR(INDEX(OHZ_HAZ_TOTNETGROSS,174,1)="",INDEX(OHZ_HAZ_TOTUNIT,174,1)="",),FALSE,TRUE),TRUE)</f>
        <v>1</v>
      </c>
      <c r="K431" s="52" t="str">
        <f t="shared" si="14"/>
        <v xml:space="preserve">Row 174 - If ‘Total amount’ is given, then ‘Net / Gross’ and ‘Total amount unit’ are required </v>
      </c>
      <c r="L431" s="236" t="s">
        <v>1853</v>
      </c>
    </row>
    <row r="432" spans="7:12">
      <c r="G432" s="250" t="b">
        <f>IF(OR(INDEX(IHZ_HAZ_TOTAMOUNT,175,1)&lt;&gt;"",),IF(OR(INDEX(IHZ_HAZ_TOTNETGROSS,175,1)="",INDEX(IHZ_HAZ_TOTUNIT,175,1)="",),FALSE,TRUE),TRUE)</f>
        <v>1</v>
      </c>
      <c r="H432" s="52" t="str">
        <f t="shared" si="13"/>
        <v xml:space="preserve">Row 175 - If ‘Total amount’ is given, then ‘Net / Gross’ and ‘Total amount unit’ are required </v>
      </c>
      <c r="I432" s="236" t="s">
        <v>1853</v>
      </c>
      <c r="J432" s="52" t="b">
        <f>IF(OR(INDEX(OHZ_HAZ_TOTAMOUNT,175,1)&lt;&gt;"",),IF(OR(INDEX(OHZ_HAZ_TOTNETGROSS,175,1)="",INDEX(OHZ_HAZ_TOTUNIT,175,1)="",),FALSE,TRUE),TRUE)</f>
        <v>1</v>
      </c>
      <c r="K432" s="52" t="str">
        <f t="shared" si="14"/>
        <v xml:space="preserve">Row 175 - If ‘Total amount’ is given, then ‘Net / Gross’ and ‘Total amount unit’ are required </v>
      </c>
      <c r="L432" s="236" t="s">
        <v>1853</v>
      </c>
    </row>
    <row r="433" spans="7:12">
      <c r="G433" s="250" t="b">
        <f>IF(OR(INDEX(IHZ_HAZ_TOTAMOUNT,176,1)&lt;&gt;"",),IF(OR(INDEX(IHZ_HAZ_TOTNETGROSS,176,1)="",INDEX(IHZ_HAZ_TOTUNIT,176,1)="",),FALSE,TRUE),TRUE)</f>
        <v>1</v>
      </c>
      <c r="H433" s="52" t="str">
        <f t="shared" si="13"/>
        <v xml:space="preserve">Row 176 - If ‘Total amount’ is given, then ‘Net / Gross’ and ‘Total amount unit’ are required </v>
      </c>
      <c r="I433" s="236" t="s">
        <v>1853</v>
      </c>
      <c r="J433" s="52" t="b">
        <f>IF(OR(INDEX(OHZ_HAZ_TOTAMOUNT,176,1)&lt;&gt;"",),IF(OR(INDEX(OHZ_HAZ_TOTNETGROSS,176,1)="",INDEX(OHZ_HAZ_TOTUNIT,176,1)="",),FALSE,TRUE),TRUE)</f>
        <v>1</v>
      </c>
      <c r="K433" s="52" t="str">
        <f t="shared" si="14"/>
        <v xml:space="preserve">Row 176 - If ‘Total amount’ is given, then ‘Net / Gross’ and ‘Total amount unit’ are required </v>
      </c>
      <c r="L433" s="236" t="s">
        <v>1853</v>
      </c>
    </row>
    <row r="434" spans="7:12">
      <c r="G434" s="250" t="b">
        <f>IF(OR(INDEX(IHZ_HAZ_TOTAMOUNT,177,1)&lt;&gt;"",),IF(OR(INDEX(IHZ_HAZ_TOTNETGROSS,177,1)="",INDEX(IHZ_HAZ_TOTUNIT,177,1)="",),FALSE,TRUE),TRUE)</f>
        <v>1</v>
      </c>
      <c r="H434" s="52" t="str">
        <f t="shared" si="13"/>
        <v xml:space="preserve">Row 177 - If ‘Total amount’ is given, then ‘Net / Gross’ and ‘Total amount unit’ are required </v>
      </c>
      <c r="I434" s="236" t="s">
        <v>1853</v>
      </c>
      <c r="J434" s="52" t="b">
        <f>IF(OR(INDEX(OHZ_HAZ_TOTAMOUNT,177,1)&lt;&gt;"",),IF(OR(INDEX(OHZ_HAZ_TOTNETGROSS,177,1)="",INDEX(OHZ_HAZ_TOTUNIT,177,1)="",),FALSE,TRUE),TRUE)</f>
        <v>1</v>
      </c>
      <c r="K434" s="52" t="str">
        <f t="shared" si="14"/>
        <v xml:space="preserve">Row 177 - If ‘Total amount’ is given, then ‘Net / Gross’ and ‘Total amount unit’ are required </v>
      </c>
      <c r="L434" s="236" t="s">
        <v>1853</v>
      </c>
    </row>
    <row r="435" spans="7:12">
      <c r="G435" s="250" t="b">
        <f>IF(OR(INDEX(IHZ_HAZ_TOTAMOUNT,178,1)&lt;&gt;"",),IF(OR(INDEX(IHZ_HAZ_TOTNETGROSS,178,1)="",INDEX(IHZ_HAZ_TOTUNIT,178,1)="",),FALSE,TRUE),TRUE)</f>
        <v>1</v>
      </c>
      <c r="H435" s="52" t="str">
        <f t="shared" si="13"/>
        <v xml:space="preserve">Row 178 - If ‘Total amount’ is given, then ‘Net / Gross’ and ‘Total amount unit’ are required </v>
      </c>
      <c r="I435" s="236" t="s">
        <v>1853</v>
      </c>
      <c r="J435" s="52" t="b">
        <f>IF(OR(INDEX(OHZ_HAZ_TOTAMOUNT,178,1)&lt;&gt;"",),IF(OR(INDEX(OHZ_HAZ_TOTNETGROSS,178,1)="",INDEX(OHZ_HAZ_TOTUNIT,178,1)="",),FALSE,TRUE),TRUE)</f>
        <v>1</v>
      </c>
      <c r="K435" s="52" t="str">
        <f t="shared" si="14"/>
        <v xml:space="preserve">Row 178 - If ‘Total amount’ is given, then ‘Net / Gross’ and ‘Total amount unit’ are required </v>
      </c>
      <c r="L435" s="236" t="s">
        <v>1853</v>
      </c>
    </row>
    <row r="436" spans="7:12">
      <c r="G436" s="250" t="b">
        <f>IF(OR(INDEX(IHZ_HAZ_TOTAMOUNT,179,1)&lt;&gt;"",),IF(OR(INDEX(IHZ_HAZ_TOTNETGROSS,179,1)="",INDEX(IHZ_HAZ_TOTUNIT,179,1)="",),FALSE,TRUE),TRUE)</f>
        <v>1</v>
      </c>
      <c r="H436" s="52" t="str">
        <f t="shared" si="13"/>
        <v xml:space="preserve">Row 179 - If ‘Total amount’ is given, then ‘Net / Gross’ and ‘Total amount unit’ are required </v>
      </c>
      <c r="I436" s="236" t="s">
        <v>1853</v>
      </c>
      <c r="J436" s="52" t="b">
        <f>IF(OR(INDEX(OHZ_HAZ_TOTAMOUNT,179,1)&lt;&gt;"",),IF(OR(INDEX(OHZ_HAZ_TOTNETGROSS,179,1)="",INDEX(OHZ_HAZ_TOTUNIT,179,1)="",),FALSE,TRUE),TRUE)</f>
        <v>1</v>
      </c>
      <c r="K436" s="52" t="str">
        <f t="shared" si="14"/>
        <v xml:space="preserve">Row 179 - If ‘Total amount’ is given, then ‘Net / Gross’ and ‘Total amount unit’ are required </v>
      </c>
      <c r="L436" s="236" t="s">
        <v>1853</v>
      </c>
    </row>
    <row r="437" spans="7:12">
      <c r="G437" s="250" t="b">
        <f>IF(OR(INDEX(IHZ_HAZ_TOTAMOUNT,180,1)&lt;&gt;"",),IF(OR(INDEX(IHZ_HAZ_TOTNETGROSS,180,1)="",INDEX(IHZ_HAZ_TOTUNIT,180,1)="",),FALSE,TRUE),TRUE)</f>
        <v>1</v>
      </c>
      <c r="H437" s="52" t="str">
        <f t="shared" si="13"/>
        <v xml:space="preserve">Row 180 - If ‘Total amount’ is given, then ‘Net / Gross’ and ‘Total amount unit’ are required </v>
      </c>
      <c r="I437" s="236" t="s">
        <v>1853</v>
      </c>
      <c r="J437" s="52" t="b">
        <f>IF(OR(INDEX(OHZ_HAZ_TOTAMOUNT,180,1)&lt;&gt;"",),IF(OR(INDEX(OHZ_HAZ_TOTNETGROSS,180,1)="",INDEX(OHZ_HAZ_TOTUNIT,180,1)="",),FALSE,TRUE),TRUE)</f>
        <v>1</v>
      </c>
      <c r="K437" s="52" t="str">
        <f t="shared" si="14"/>
        <v xml:space="preserve">Row 180 - If ‘Total amount’ is given, then ‘Net / Gross’ and ‘Total amount unit’ are required </v>
      </c>
      <c r="L437" s="236" t="s">
        <v>1853</v>
      </c>
    </row>
    <row r="438" spans="7:12">
      <c r="G438" s="250" t="b">
        <f>IF(OR(INDEX(IHZ_HAZ_TOTAMOUNT,181,1)&lt;&gt;"",),IF(OR(INDEX(IHZ_HAZ_TOTNETGROSS,181,1)="",INDEX(IHZ_HAZ_TOTUNIT,181,1)="",),FALSE,TRUE),TRUE)</f>
        <v>1</v>
      </c>
      <c r="H438" s="52" t="str">
        <f t="shared" si="13"/>
        <v xml:space="preserve">Row 181 - If ‘Total amount’ is given, then ‘Net / Gross’ and ‘Total amount unit’ are required </v>
      </c>
      <c r="I438" s="236" t="s">
        <v>1853</v>
      </c>
      <c r="J438" s="52" t="b">
        <f>IF(OR(INDEX(OHZ_HAZ_TOTAMOUNT,181,1)&lt;&gt;"",),IF(OR(INDEX(OHZ_HAZ_TOTNETGROSS,181,1)="",INDEX(OHZ_HAZ_TOTUNIT,181,1)="",),FALSE,TRUE),TRUE)</f>
        <v>1</v>
      </c>
      <c r="K438" s="52" t="str">
        <f t="shared" si="14"/>
        <v xml:space="preserve">Row 181 - If ‘Total amount’ is given, then ‘Net / Gross’ and ‘Total amount unit’ are required </v>
      </c>
      <c r="L438" s="236" t="s">
        <v>1853</v>
      </c>
    </row>
    <row r="439" spans="7:12">
      <c r="G439" s="250" t="b">
        <f>IF(OR(INDEX(IHZ_HAZ_TOTAMOUNT,182,1)&lt;&gt;"",),IF(OR(INDEX(IHZ_HAZ_TOTNETGROSS,182,1)="",INDEX(IHZ_HAZ_TOTUNIT,182,1)="",),FALSE,TRUE),TRUE)</f>
        <v>1</v>
      </c>
      <c r="H439" s="52" t="str">
        <f t="shared" si="13"/>
        <v xml:space="preserve">Row 182 - If ‘Total amount’ is given, then ‘Net / Gross’ and ‘Total amount unit’ are required </v>
      </c>
      <c r="I439" s="236" t="s">
        <v>1853</v>
      </c>
      <c r="J439" s="52" t="b">
        <f>IF(OR(INDEX(OHZ_HAZ_TOTAMOUNT,182,1)&lt;&gt;"",),IF(OR(INDEX(OHZ_HAZ_TOTNETGROSS,182,1)="",INDEX(OHZ_HAZ_TOTUNIT,182,1)="",),FALSE,TRUE),TRUE)</f>
        <v>1</v>
      </c>
      <c r="K439" s="52" t="str">
        <f t="shared" si="14"/>
        <v xml:space="preserve">Row 182 - If ‘Total amount’ is given, then ‘Net / Gross’ and ‘Total amount unit’ are required </v>
      </c>
      <c r="L439" s="236" t="s">
        <v>1853</v>
      </c>
    </row>
    <row r="440" spans="7:12">
      <c r="G440" s="250" t="b">
        <f>IF(OR(INDEX(IHZ_HAZ_TOTAMOUNT,183,1)&lt;&gt;"",),IF(OR(INDEX(IHZ_HAZ_TOTNETGROSS,183,1)="",INDEX(IHZ_HAZ_TOTUNIT,183,1)="",),FALSE,TRUE),TRUE)</f>
        <v>1</v>
      </c>
      <c r="H440" s="52" t="str">
        <f t="shared" si="13"/>
        <v xml:space="preserve">Row 183 - If ‘Total amount’ is given, then ‘Net / Gross’ and ‘Total amount unit’ are required </v>
      </c>
      <c r="I440" s="236" t="s">
        <v>1853</v>
      </c>
      <c r="J440" s="52" t="b">
        <f>IF(OR(INDEX(OHZ_HAZ_TOTAMOUNT,183,1)&lt;&gt;"",),IF(OR(INDEX(OHZ_HAZ_TOTNETGROSS,183,1)="",INDEX(OHZ_HAZ_TOTUNIT,183,1)="",),FALSE,TRUE),TRUE)</f>
        <v>1</v>
      </c>
      <c r="K440" s="52" t="str">
        <f t="shared" si="14"/>
        <v xml:space="preserve">Row 183 - If ‘Total amount’ is given, then ‘Net / Gross’ and ‘Total amount unit’ are required </v>
      </c>
      <c r="L440" s="236" t="s">
        <v>1853</v>
      </c>
    </row>
    <row r="441" spans="7:12">
      <c r="G441" s="250" t="b">
        <f>IF(OR(INDEX(IHZ_HAZ_TOTAMOUNT,184,1)&lt;&gt;"",),IF(OR(INDEX(IHZ_HAZ_TOTNETGROSS,184,1)="",INDEX(IHZ_HAZ_TOTUNIT,184,1)="",),FALSE,TRUE),TRUE)</f>
        <v>1</v>
      </c>
      <c r="H441" s="52" t="str">
        <f t="shared" si="13"/>
        <v xml:space="preserve">Row 184 - If ‘Total amount’ is given, then ‘Net / Gross’ and ‘Total amount unit’ are required </v>
      </c>
      <c r="I441" s="236" t="s">
        <v>1853</v>
      </c>
      <c r="J441" s="52" t="b">
        <f>IF(OR(INDEX(OHZ_HAZ_TOTAMOUNT,184,1)&lt;&gt;"",),IF(OR(INDEX(OHZ_HAZ_TOTNETGROSS,184,1)="",INDEX(OHZ_HAZ_TOTUNIT,184,1)="",),FALSE,TRUE),TRUE)</f>
        <v>1</v>
      </c>
      <c r="K441" s="52" t="str">
        <f t="shared" si="14"/>
        <v xml:space="preserve">Row 184 - If ‘Total amount’ is given, then ‘Net / Gross’ and ‘Total amount unit’ are required </v>
      </c>
      <c r="L441" s="236" t="s">
        <v>1853</v>
      </c>
    </row>
    <row r="442" spans="7:12">
      <c r="G442" s="250" t="b">
        <f>IF(OR(INDEX(IHZ_HAZ_TOTAMOUNT,185,1)&lt;&gt;"",),IF(OR(INDEX(IHZ_HAZ_TOTNETGROSS,185,1)="",INDEX(IHZ_HAZ_TOTUNIT,185,1)="",),FALSE,TRUE),TRUE)</f>
        <v>1</v>
      </c>
      <c r="H442" s="52" t="str">
        <f t="shared" si="13"/>
        <v xml:space="preserve">Row 185 - If ‘Total amount’ is given, then ‘Net / Gross’ and ‘Total amount unit’ are required </v>
      </c>
      <c r="I442" s="236" t="s">
        <v>1853</v>
      </c>
      <c r="J442" s="52" t="b">
        <f>IF(OR(INDEX(OHZ_HAZ_TOTAMOUNT,185,1)&lt;&gt;"",),IF(OR(INDEX(OHZ_HAZ_TOTNETGROSS,185,1)="",INDEX(OHZ_HAZ_TOTUNIT,185,1)="",),FALSE,TRUE),TRUE)</f>
        <v>1</v>
      </c>
      <c r="K442" s="52" t="str">
        <f t="shared" si="14"/>
        <v xml:space="preserve">Row 185 - If ‘Total amount’ is given, then ‘Net / Gross’ and ‘Total amount unit’ are required </v>
      </c>
      <c r="L442" s="236" t="s">
        <v>1853</v>
      </c>
    </row>
    <row r="443" spans="7:12">
      <c r="G443" s="250" t="b">
        <f>IF(OR(INDEX(IHZ_HAZ_TOTAMOUNT,186,1)&lt;&gt;"",),IF(OR(INDEX(IHZ_HAZ_TOTNETGROSS,186,1)="",INDEX(IHZ_HAZ_TOTUNIT,186,1)="",),FALSE,TRUE),TRUE)</f>
        <v>1</v>
      </c>
      <c r="H443" s="52" t="str">
        <f t="shared" si="13"/>
        <v xml:space="preserve">Row 186 - If ‘Total amount’ is given, then ‘Net / Gross’ and ‘Total amount unit’ are required </v>
      </c>
      <c r="I443" s="236" t="s">
        <v>1853</v>
      </c>
      <c r="J443" s="52" t="b">
        <f>IF(OR(INDEX(OHZ_HAZ_TOTAMOUNT,186,1)&lt;&gt;"",),IF(OR(INDEX(OHZ_HAZ_TOTNETGROSS,186,1)="",INDEX(OHZ_HAZ_TOTUNIT,186,1)="",),FALSE,TRUE),TRUE)</f>
        <v>1</v>
      </c>
      <c r="K443" s="52" t="str">
        <f t="shared" si="14"/>
        <v xml:space="preserve">Row 186 - If ‘Total amount’ is given, then ‘Net / Gross’ and ‘Total amount unit’ are required </v>
      </c>
      <c r="L443" s="236" t="s">
        <v>1853</v>
      </c>
    </row>
    <row r="444" spans="7:12">
      <c r="G444" s="250" t="b">
        <f>IF(OR(INDEX(IHZ_HAZ_TOTAMOUNT,187,1)&lt;&gt;"",),IF(OR(INDEX(IHZ_HAZ_TOTNETGROSS,187,1)="",INDEX(IHZ_HAZ_TOTUNIT,187,1)="",),FALSE,TRUE),TRUE)</f>
        <v>1</v>
      </c>
      <c r="H444" s="52" t="str">
        <f t="shared" si="13"/>
        <v xml:space="preserve">Row 187 - If ‘Total amount’ is given, then ‘Net / Gross’ and ‘Total amount unit’ are required </v>
      </c>
      <c r="I444" s="236" t="s">
        <v>1853</v>
      </c>
      <c r="J444" s="52" t="b">
        <f>IF(OR(INDEX(OHZ_HAZ_TOTAMOUNT,187,1)&lt;&gt;"",),IF(OR(INDEX(OHZ_HAZ_TOTNETGROSS,187,1)="",INDEX(OHZ_HAZ_TOTUNIT,187,1)="",),FALSE,TRUE),TRUE)</f>
        <v>1</v>
      </c>
      <c r="K444" s="52" t="str">
        <f t="shared" si="14"/>
        <v xml:space="preserve">Row 187 - If ‘Total amount’ is given, then ‘Net / Gross’ and ‘Total amount unit’ are required </v>
      </c>
      <c r="L444" s="236" t="s">
        <v>1853</v>
      </c>
    </row>
    <row r="445" spans="7:12">
      <c r="G445" s="250" t="b">
        <f>IF(OR(INDEX(IHZ_HAZ_TOTAMOUNT,188,1)&lt;&gt;"",),IF(OR(INDEX(IHZ_HAZ_TOTNETGROSS,188,1)="",INDEX(IHZ_HAZ_TOTUNIT,188,1)="",),FALSE,TRUE),TRUE)</f>
        <v>1</v>
      </c>
      <c r="H445" s="52" t="str">
        <f t="shared" si="13"/>
        <v xml:space="preserve">Row 188 - If ‘Total amount’ is given, then ‘Net / Gross’ and ‘Total amount unit’ are required </v>
      </c>
      <c r="I445" s="236" t="s">
        <v>1853</v>
      </c>
      <c r="J445" s="52" t="b">
        <f>IF(OR(INDEX(OHZ_HAZ_TOTAMOUNT,188,1)&lt;&gt;"",),IF(OR(INDEX(OHZ_HAZ_TOTNETGROSS,188,1)="",INDEX(OHZ_HAZ_TOTUNIT,188,1)="",),FALSE,TRUE),TRUE)</f>
        <v>1</v>
      </c>
      <c r="K445" s="52" t="str">
        <f t="shared" si="14"/>
        <v xml:space="preserve">Row 188 - If ‘Total amount’ is given, then ‘Net / Gross’ and ‘Total amount unit’ are required </v>
      </c>
      <c r="L445" s="236" t="s">
        <v>1853</v>
      </c>
    </row>
    <row r="446" spans="7:12">
      <c r="G446" s="250" t="b">
        <f>IF(OR(INDEX(IHZ_HAZ_TOTAMOUNT,189,1)&lt;&gt;"",),IF(OR(INDEX(IHZ_HAZ_TOTNETGROSS,189,1)="",INDEX(IHZ_HAZ_TOTUNIT,189,1)="",),FALSE,TRUE),TRUE)</f>
        <v>1</v>
      </c>
      <c r="H446" s="52" t="str">
        <f t="shared" si="13"/>
        <v xml:space="preserve">Row 189 - If ‘Total amount’ is given, then ‘Net / Gross’ and ‘Total amount unit’ are required </v>
      </c>
      <c r="I446" s="236" t="s">
        <v>1853</v>
      </c>
      <c r="J446" s="52" t="b">
        <f>IF(OR(INDEX(OHZ_HAZ_TOTAMOUNT,189,1)&lt;&gt;"",),IF(OR(INDEX(OHZ_HAZ_TOTNETGROSS,189,1)="",INDEX(OHZ_HAZ_TOTUNIT,189,1)="",),FALSE,TRUE),TRUE)</f>
        <v>1</v>
      </c>
      <c r="K446" s="52" t="str">
        <f t="shared" si="14"/>
        <v xml:space="preserve">Row 189 - If ‘Total amount’ is given, then ‘Net / Gross’ and ‘Total amount unit’ are required </v>
      </c>
      <c r="L446" s="236" t="s">
        <v>1853</v>
      </c>
    </row>
    <row r="447" spans="7:12">
      <c r="G447" s="250" t="b">
        <f>IF(OR(INDEX(IHZ_HAZ_TOTAMOUNT,190,1)&lt;&gt;"",),IF(OR(INDEX(IHZ_HAZ_TOTNETGROSS,190,1)="",INDEX(IHZ_HAZ_TOTUNIT,190,1)="",),FALSE,TRUE),TRUE)</f>
        <v>1</v>
      </c>
      <c r="H447" s="52" t="str">
        <f t="shared" si="13"/>
        <v xml:space="preserve">Row 190 - If ‘Total amount’ is given, then ‘Net / Gross’ and ‘Total amount unit’ are required </v>
      </c>
      <c r="I447" s="236" t="s">
        <v>1853</v>
      </c>
      <c r="J447" s="52" t="b">
        <f>IF(OR(INDEX(OHZ_HAZ_TOTAMOUNT,190,1)&lt;&gt;"",),IF(OR(INDEX(OHZ_HAZ_TOTNETGROSS,190,1)="",INDEX(OHZ_HAZ_TOTUNIT,190,1)="",),FALSE,TRUE),TRUE)</f>
        <v>1</v>
      </c>
      <c r="K447" s="52" t="str">
        <f t="shared" si="14"/>
        <v xml:space="preserve">Row 190 - If ‘Total amount’ is given, then ‘Net / Gross’ and ‘Total amount unit’ are required </v>
      </c>
      <c r="L447" s="236" t="s">
        <v>1853</v>
      </c>
    </row>
    <row r="448" spans="7:12">
      <c r="G448" s="250" t="b">
        <f>IF(OR(INDEX(IHZ_HAZ_TOTAMOUNT,191,1)&lt;&gt;"",),IF(OR(INDEX(IHZ_HAZ_TOTNETGROSS,191,1)="",INDEX(IHZ_HAZ_TOTUNIT,191,1)="",),FALSE,TRUE),TRUE)</f>
        <v>1</v>
      </c>
      <c r="H448" s="52" t="str">
        <f t="shared" si="13"/>
        <v xml:space="preserve">Row 191 - If ‘Total amount’ is given, then ‘Net / Gross’ and ‘Total amount unit’ are required </v>
      </c>
      <c r="I448" s="236" t="s">
        <v>1853</v>
      </c>
      <c r="J448" s="52" t="b">
        <f>IF(OR(INDEX(OHZ_HAZ_TOTAMOUNT,191,1)&lt;&gt;"",),IF(OR(INDEX(OHZ_HAZ_TOTNETGROSS,191,1)="",INDEX(OHZ_HAZ_TOTUNIT,191,1)="",),FALSE,TRUE),TRUE)</f>
        <v>1</v>
      </c>
      <c r="K448" s="52" t="str">
        <f t="shared" si="14"/>
        <v xml:space="preserve">Row 191 - If ‘Total amount’ is given, then ‘Net / Gross’ and ‘Total amount unit’ are required </v>
      </c>
      <c r="L448" s="236" t="s">
        <v>1853</v>
      </c>
    </row>
    <row r="449" spans="7:12">
      <c r="G449" s="250" t="b">
        <f>IF(OR(INDEX(IHZ_HAZ_TOTAMOUNT,192,1)&lt;&gt;"",),IF(OR(INDEX(IHZ_HAZ_TOTNETGROSS,192,1)="",INDEX(IHZ_HAZ_TOTUNIT,192,1)="",),FALSE,TRUE),TRUE)</f>
        <v>1</v>
      </c>
      <c r="H449" s="52" t="str">
        <f t="shared" si="13"/>
        <v xml:space="preserve">Row 192 - If ‘Total amount’ is given, then ‘Net / Gross’ and ‘Total amount unit’ are required </v>
      </c>
      <c r="I449" s="236" t="s">
        <v>1853</v>
      </c>
      <c r="J449" s="52" t="b">
        <f>IF(OR(INDEX(OHZ_HAZ_TOTAMOUNT,192,1)&lt;&gt;"",),IF(OR(INDEX(OHZ_HAZ_TOTNETGROSS,192,1)="",INDEX(OHZ_HAZ_TOTUNIT,192,1)="",),FALSE,TRUE),TRUE)</f>
        <v>1</v>
      </c>
      <c r="K449" s="52" t="str">
        <f t="shared" si="14"/>
        <v xml:space="preserve">Row 192 - If ‘Total amount’ is given, then ‘Net / Gross’ and ‘Total amount unit’ are required </v>
      </c>
      <c r="L449" s="236" t="s">
        <v>1853</v>
      </c>
    </row>
    <row r="450" spans="7:12">
      <c r="G450" s="250" t="b">
        <f>IF(OR(INDEX(IHZ_HAZ_TOTAMOUNT,193,1)&lt;&gt;"",),IF(OR(INDEX(IHZ_HAZ_TOTNETGROSS,193,1)="",INDEX(IHZ_HAZ_TOTUNIT,193,1)="",),FALSE,TRUE),TRUE)</f>
        <v>1</v>
      </c>
      <c r="H450" s="52" t="str">
        <f t="shared" si="13"/>
        <v xml:space="preserve">Row 193 - If ‘Total amount’ is given, then ‘Net / Gross’ and ‘Total amount unit’ are required </v>
      </c>
      <c r="I450" s="236" t="s">
        <v>1853</v>
      </c>
      <c r="J450" s="52" t="b">
        <f>IF(OR(INDEX(OHZ_HAZ_TOTAMOUNT,193,1)&lt;&gt;"",),IF(OR(INDEX(OHZ_HAZ_TOTNETGROSS,193,1)="",INDEX(OHZ_HAZ_TOTUNIT,193,1)="",),FALSE,TRUE),TRUE)</f>
        <v>1</v>
      </c>
      <c r="K450" s="52" t="str">
        <f t="shared" si="14"/>
        <v xml:space="preserve">Row 193 - If ‘Total amount’ is given, then ‘Net / Gross’ and ‘Total amount unit’ are required </v>
      </c>
      <c r="L450" s="236" t="s">
        <v>1853</v>
      </c>
    </row>
    <row r="451" spans="7:12">
      <c r="G451" s="250" t="b">
        <f>IF(OR(INDEX(IHZ_HAZ_TOTAMOUNT,194,1)&lt;&gt;"",),IF(OR(INDEX(IHZ_HAZ_TOTNETGROSS,194,1)="",INDEX(IHZ_HAZ_TOTUNIT,194,1)="",),FALSE,TRUE),TRUE)</f>
        <v>1</v>
      </c>
      <c r="H451" s="52" t="str">
        <f t="shared" ref="H451:H507" si="15">T194&amp;$V$2</f>
        <v xml:space="preserve">Row 194 - If ‘Total amount’ is given, then ‘Net / Gross’ and ‘Total amount unit’ are required </v>
      </c>
      <c r="I451" s="236" t="s">
        <v>1853</v>
      </c>
      <c r="J451" s="52" t="b">
        <f>IF(OR(INDEX(OHZ_HAZ_TOTAMOUNT,194,1)&lt;&gt;"",),IF(OR(INDEX(OHZ_HAZ_TOTNETGROSS,194,1)="",INDEX(OHZ_HAZ_TOTUNIT,194,1)="",),FALSE,TRUE),TRUE)</f>
        <v>1</v>
      </c>
      <c r="K451" s="52" t="str">
        <f t="shared" ref="K451:K507" si="16">T194&amp;$V$2</f>
        <v xml:space="preserve">Row 194 - If ‘Total amount’ is given, then ‘Net / Gross’ and ‘Total amount unit’ are required </v>
      </c>
      <c r="L451" s="236" t="s">
        <v>1853</v>
      </c>
    </row>
    <row r="452" spans="7:12">
      <c r="G452" s="250" t="b">
        <f>IF(OR(INDEX(IHZ_HAZ_TOTAMOUNT,195,1)&lt;&gt;"",),IF(OR(INDEX(IHZ_HAZ_TOTNETGROSS,195,1)="",INDEX(IHZ_HAZ_TOTUNIT,195,1)="",),FALSE,TRUE),TRUE)</f>
        <v>1</v>
      </c>
      <c r="H452" s="52" t="str">
        <f t="shared" si="15"/>
        <v xml:space="preserve">Row 195 - If ‘Total amount’ is given, then ‘Net / Gross’ and ‘Total amount unit’ are required </v>
      </c>
      <c r="I452" s="236" t="s">
        <v>1853</v>
      </c>
      <c r="J452" s="52" t="b">
        <f>IF(OR(INDEX(OHZ_HAZ_TOTAMOUNT,195,1)&lt;&gt;"",),IF(OR(INDEX(OHZ_HAZ_TOTNETGROSS,195,1)="",INDEX(OHZ_HAZ_TOTUNIT,195,1)="",),FALSE,TRUE),TRUE)</f>
        <v>1</v>
      </c>
      <c r="K452" s="52" t="str">
        <f t="shared" si="16"/>
        <v xml:space="preserve">Row 195 - If ‘Total amount’ is given, then ‘Net / Gross’ and ‘Total amount unit’ are required </v>
      </c>
      <c r="L452" s="236" t="s">
        <v>1853</v>
      </c>
    </row>
    <row r="453" spans="7:12">
      <c r="G453" s="250" t="b">
        <f>IF(OR(INDEX(IHZ_HAZ_TOTAMOUNT,196,1)&lt;&gt;"",),IF(OR(INDEX(IHZ_HAZ_TOTNETGROSS,196,1)="",INDEX(IHZ_HAZ_TOTUNIT,196,1)="",),FALSE,TRUE),TRUE)</f>
        <v>1</v>
      </c>
      <c r="H453" s="52" t="str">
        <f t="shared" si="15"/>
        <v xml:space="preserve">Row 196 - If ‘Total amount’ is given, then ‘Net / Gross’ and ‘Total amount unit’ are required </v>
      </c>
      <c r="I453" s="236" t="s">
        <v>1853</v>
      </c>
      <c r="J453" s="52" t="b">
        <f>IF(OR(INDEX(OHZ_HAZ_TOTAMOUNT,196,1)&lt;&gt;"",),IF(OR(INDEX(OHZ_HAZ_TOTNETGROSS,196,1)="",INDEX(OHZ_HAZ_TOTUNIT,196,1)="",),FALSE,TRUE),TRUE)</f>
        <v>1</v>
      </c>
      <c r="K453" s="52" t="str">
        <f t="shared" si="16"/>
        <v xml:space="preserve">Row 196 - If ‘Total amount’ is given, then ‘Net / Gross’ and ‘Total amount unit’ are required </v>
      </c>
      <c r="L453" s="236" t="s">
        <v>1853</v>
      </c>
    </row>
    <row r="454" spans="7:12">
      <c r="G454" s="250" t="b">
        <f>IF(OR(INDEX(IHZ_HAZ_TOTAMOUNT,197,1)&lt;&gt;"",),IF(OR(INDEX(IHZ_HAZ_TOTNETGROSS,197,1)="",INDEX(IHZ_HAZ_TOTUNIT,197,1)="",),FALSE,TRUE),TRUE)</f>
        <v>1</v>
      </c>
      <c r="H454" s="52" t="str">
        <f t="shared" si="15"/>
        <v xml:space="preserve">Row 197 - If ‘Total amount’ is given, then ‘Net / Gross’ and ‘Total amount unit’ are required </v>
      </c>
      <c r="I454" s="236" t="s">
        <v>1853</v>
      </c>
      <c r="J454" s="52" t="b">
        <f>IF(OR(INDEX(OHZ_HAZ_TOTAMOUNT,197,1)&lt;&gt;"",),IF(OR(INDEX(OHZ_HAZ_TOTNETGROSS,197,1)="",INDEX(OHZ_HAZ_TOTUNIT,197,1)="",),FALSE,TRUE),TRUE)</f>
        <v>1</v>
      </c>
      <c r="K454" s="52" t="str">
        <f t="shared" si="16"/>
        <v xml:space="preserve">Row 197 - If ‘Total amount’ is given, then ‘Net / Gross’ and ‘Total amount unit’ are required </v>
      </c>
      <c r="L454" s="236" t="s">
        <v>1853</v>
      </c>
    </row>
    <row r="455" spans="7:12">
      <c r="G455" s="250" t="b">
        <f>IF(OR(INDEX(IHZ_HAZ_TOTAMOUNT,198,1)&lt;&gt;"",),IF(OR(INDEX(IHZ_HAZ_TOTNETGROSS,198,1)="",INDEX(IHZ_HAZ_TOTUNIT,198,1)="",),FALSE,TRUE),TRUE)</f>
        <v>1</v>
      </c>
      <c r="H455" s="52" t="str">
        <f t="shared" si="15"/>
        <v xml:space="preserve">Row 198 - If ‘Total amount’ is given, then ‘Net / Gross’ and ‘Total amount unit’ are required </v>
      </c>
      <c r="I455" s="236" t="s">
        <v>1853</v>
      </c>
      <c r="J455" s="52" t="b">
        <f>IF(OR(INDEX(OHZ_HAZ_TOTAMOUNT,198,1)&lt;&gt;"",),IF(OR(INDEX(OHZ_HAZ_TOTNETGROSS,198,1)="",INDEX(OHZ_HAZ_TOTUNIT,198,1)="",),FALSE,TRUE),TRUE)</f>
        <v>1</v>
      </c>
      <c r="K455" s="52" t="str">
        <f t="shared" si="16"/>
        <v xml:space="preserve">Row 198 - If ‘Total amount’ is given, then ‘Net / Gross’ and ‘Total amount unit’ are required </v>
      </c>
      <c r="L455" s="236" t="s">
        <v>1853</v>
      </c>
    </row>
    <row r="456" spans="7:12">
      <c r="G456" s="250" t="b">
        <f>IF(OR(INDEX(IHZ_HAZ_TOTAMOUNT,199,1)&lt;&gt;"",),IF(OR(INDEX(IHZ_HAZ_TOTNETGROSS,199,1)="",INDEX(IHZ_HAZ_TOTUNIT,199,1)="",),FALSE,TRUE),TRUE)</f>
        <v>1</v>
      </c>
      <c r="H456" s="52" t="str">
        <f t="shared" si="15"/>
        <v xml:space="preserve">Row 199 - If ‘Total amount’ is given, then ‘Net / Gross’ and ‘Total amount unit’ are required </v>
      </c>
      <c r="I456" s="236" t="s">
        <v>1853</v>
      </c>
      <c r="J456" s="52" t="b">
        <f>IF(OR(INDEX(OHZ_HAZ_TOTAMOUNT,199,1)&lt;&gt;"",),IF(OR(INDEX(OHZ_HAZ_TOTNETGROSS,199,1)="",INDEX(OHZ_HAZ_TOTUNIT,199,1)="",),FALSE,TRUE),TRUE)</f>
        <v>1</v>
      </c>
      <c r="K456" s="52" t="str">
        <f t="shared" si="16"/>
        <v xml:space="preserve">Row 199 - If ‘Total amount’ is given, then ‘Net / Gross’ and ‘Total amount unit’ are required </v>
      </c>
      <c r="L456" s="236" t="s">
        <v>1853</v>
      </c>
    </row>
    <row r="457" spans="7:12">
      <c r="G457" s="250" t="b">
        <f>IF(OR(INDEX(IHZ_HAZ_TOTAMOUNT,200,1)&lt;&gt;"",),IF(OR(INDEX(IHZ_HAZ_TOTNETGROSS,200,1)="",INDEX(IHZ_HAZ_TOTUNIT,200,1)="",),FALSE,TRUE),TRUE)</f>
        <v>1</v>
      </c>
      <c r="H457" s="52" t="str">
        <f t="shared" si="15"/>
        <v xml:space="preserve">Row 200 - If ‘Total amount’ is given, then ‘Net / Gross’ and ‘Total amount unit’ are required </v>
      </c>
      <c r="I457" s="236" t="s">
        <v>1853</v>
      </c>
      <c r="J457" s="52" t="b">
        <f>IF(OR(INDEX(OHZ_HAZ_TOTAMOUNT,200,1)&lt;&gt;"",),IF(OR(INDEX(OHZ_HAZ_TOTNETGROSS,200,1)="",INDEX(OHZ_HAZ_TOTUNIT,200,1)="",),FALSE,TRUE),TRUE)</f>
        <v>1</v>
      </c>
      <c r="K457" s="52" t="str">
        <f t="shared" si="16"/>
        <v xml:space="preserve">Row 200 - If ‘Total amount’ is given, then ‘Net / Gross’ and ‘Total amount unit’ are required </v>
      </c>
      <c r="L457" s="236" t="s">
        <v>1853</v>
      </c>
    </row>
    <row r="458" spans="7:12">
      <c r="G458" s="250" t="b">
        <f>IF(OR(INDEX(IHZ_HAZ_TOTAMOUNT,201,1)&lt;&gt;"",),IF(OR(INDEX(IHZ_HAZ_TOTNETGROSS,201,1)="",INDEX(IHZ_HAZ_TOTUNIT,201,1)="",),FALSE,TRUE),TRUE)</f>
        <v>1</v>
      </c>
      <c r="H458" s="52" t="str">
        <f t="shared" si="15"/>
        <v xml:space="preserve">Row 201 - If ‘Total amount’ is given, then ‘Net / Gross’ and ‘Total amount unit’ are required </v>
      </c>
      <c r="I458" s="236" t="s">
        <v>1853</v>
      </c>
      <c r="J458" s="52" t="b">
        <f>IF(OR(INDEX(OHZ_HAZ_TOTAMOUNT,201,1)&lt;&gt;"",),IF(OR(INDEX(OHZ_HAZ_TOTNETGROSS,201,1)="",INDEX(OHZ_HAZ_TOTUNIT,201,1)="",),FALSE,TRUE),TRUE)</f>
        <v>1</v>
      </c>
      <c r="K458" s="52" t="str">
        <f t="shared" si="16"/>
        <v xml:space="preserve">Row 201 - If ‘Total amount’ is given, then ‘Net / Gross’ and ‘Total amount unit’ are required </v>
      </c>
      <c r="L458" s="236" t="s">
        <v>1853</v>
      </c>
    </row>
    <row r="459" spans="7:12">
      <c r="G459" s="250" t="b">
        <f>IF(OR(INDEX(IHZ_HAZ_TOTAMOUNT,202,1)&lt;&gt;"",),IF(OR(INDEX(IHZ_HAZ_TOTNETGROSS,202,1)="",INDEX(IHZ_HAZ_TOTUNIT,202,1)="",),FALSE,TRUE),TRUE)</f>
        <v>1</v>
      </c>
      <c r="H459" s="52" t="str">
        <f t="shared" si="15"/>
        <v xml:space="preserve">Row 202 - If ‘Total amount’ is given, then ‘Net / Gross’ and ‘Total amount unit’ are required </v>
      </c>
      <c r="I459" s="236" t="s">
        <v>1853</v>
      </c>
      <c r="J459" s="52" t="b">
        <f>IF(OR(INDEX(OHZ_HAZ_TOTAMOUNT,202,1)&lt;&gt;"",),IF(OR(INDEX(OHZ_HAZ_TOTNETGROSS,202,1)="",INDEX(OHZ_HAZ_TOTUNIT,202,1)="",),FALSE,TRUE),TRUE)</f>
        <v>1</v>
      </c>
      <c r="K459" s="52" t="str">
        <f t="shared" si="16"/>
        <v xml:space="preserve">Row 202 - If ‘Total amount’ is given, then ‘Net / Gross’ and ‘Total amount unit’ are required </v>
      </c>
      <c r="L459" s="236" t="s">
        <v>1853</v>
      </c>
    </row>
    <row r="460" spans="7:12">
      <c r="G460" s="250" t="b">
        <f>IF(OR(INDEX(IHZ_HAZ_TOTAMOUNT,203,1)&lt;&gt;"",),IF(OR(INDEX(IHZ_HAZ_TOTNETGROSS,203,1)="",INDEX(IHZ_HAZ_TOTUNIT,203,1)="",),FALSE,TRUE),TRUE)</f>
        <v>1</v>
      </c>
      <c r="H460" s="52" t="str">
        <f t="shared" si="15"/>
        <v xml:space="preserve">Row 203 - If ‘Total amount’ is given, then ‘Net / Gross’ and ‘Total amount unit’ are required </v>
      </c>
      <c r="I460" s="236" t="s">
        <v>1853</v>
      </c>
      <c r="J460" s="52" t="b">
        <f>IF(OR(INDEX(OHZ_HAZ_TOTAMOUNT,203,1)&lt;&gt;"",),IF(OR(INDEX(OHZ_HAZ_TOTNETGROSS,203,1)="",INDEX(OHZ_HAZ_TOTUNIT,203,1)="",),FALSE,TRUE),TRUE)</f>
        <v>1</v>
      </c>
      <c r="K460" s="52" t="str">
        <f t="shared" si="16"/>
        <v xml:space="preserve">Row 203 - If ‘Total amount’ is given, then ‘Net / Gross’ and ‘Total amount unit’ are required </v>
      </c>
      <c r="L460" s="236" t="s">
        <v>1853</v>
      </c>
    </row>
    <row r="461" spans="7:12">
      <c r="G461" s="250" t="b">
        <f>IF(OR(INDEX(IHZ_HAZ_TOTAMOUNT,204,1)&lt;&gt;"",),IF(OR(INDEX(IHZ_HAZ_TOTNETGROSS,204,1)="",INDEX(IHZ_HAZ_TOTUNIT,204,1)="",),FALSE,TRUE),TRUE)</f>
        <v>1</v>
      </c>
      <c r="H461" s="52" t="str">
        <f t="shared" si="15"/>
        <v xml:space="preserve">Row 204 - If ‘Total amount’ is given, then ‘Net / Gross’ and ‘Total amount unit’ are required </v>
      </c>
      <c r="I461" s="236" t="s">
        <v>1853</v>
      </c>
      <c r="J461" s="52" t="b">
        <f>IF(OR(INDEX(OHZ_HAZ_TOTAMOUNT,204,1)&lt;&gt;"",),IF(OR(INDEX(OHZ_HAZ_TOTNETGROSS,204,1)="",INDEX(OHZ_HAZ_TOTUNIT,204,1)="",),FALSE,TRUE),TRUE)</f>
        <v>1</v>
      </c>
      <c r="K461" s="52" t="str">
        <f t="shared" si="16"/>
        <v xml:space="preserve">Row 204 - If ‘Total amount’ is given, then ‘Net / Gross’ and ‘Total amount unit’ are required </v>
      </c>
      <c r="L461" s="236" t="s">
        <v>1853</v>
      </c>
    </row>
    <row r="462" spans="7:12">
      <c r="G462" s="250" t="b">
        <f>IF(OR(INDEX(IHZ_HAZ_TOTAMOUNT,205,1)&lt;&gt;"",),IF(OR(INDEX(IHZ_HAZ_TOTNETGROSS,205,1)="",INDEX(IHZ_HAZ_TOTUNIT,205,1)="",),FALSE,TRUE),TRUE)</f>
        <v>1</v>
      </c>
      <c r="H462" s="52" t="str">
        <f t="shared" si="15"/>
        <v xml:space="preserve">Row 205 - If ‘Total amount’ is given, then ‘Net / Gross’ and ‘Total amount unit’ are required </v>
      </c>
      <c r="I462" s="236" t="s">
        <v>1853</v>
      </c>
      <c r="J462" s="52" t="b">
        <f>IF(OR(INDEX(OHZ_HAZ_TOTAMOUNT,205,1)&lt;&gt;"",),IF(OR(INDEX(OHZ_HAZ_TOTNETGROSS,205,1)="",INDEX(OHZ_HAZ_TOTUNIT,205,1)="",),FALSE,TRUE),TRUE)</f>
        <v>1</v>
      </c>
      <c r="K462" s="52" t="str">
        <f t="shared" si="16"/>
        <v xml:space="preserve">Row 205 - If ‘Total amount’ is given, then ‘Net / Gross’ and ‘Total amount unit’ are required </v>
      </c>
      <c r="L462" s="236" t="s">
        <v>1853</v>
      </c>
    </row>
    <row r="463" spans="7:12">
      <c r="G463" s="250" t="b">
        <f>IF(OR(INDEX(IHZ_HAZ_TOTAMOUNT,206,1)&lt;&gt;"",),IF(OR(INDEX(IHZ_HAZ_TOTNETGROSS,206,1)="",INDEX(IHZ_HAZ_TOTUNIT,206,1)="",),FALSE,TRUE),TRUE)</f>
        <v>1</v>
      </c>
      <c r="H463" s="52" t="str">
        <f t="shared" si="15"/>
        <v xml:space="preserve">Row 206 - If ‘Total amount’ is given, then ‘Net / Gross’ and ‘Total amount unit’ are required </v>
      </c>
      <c r="I463" s="236" t="s">
        <v>1853</v>
      </c>
      <c r="J463" s="52" t="b">
        <f>IF(OR(INDEX(OHZ_HAZ_TOTAMOUNT,206,1)&lt;&gt;"",),IF(OR(INDEX(OHZ_HAZ_TOTNETGROSS,206,1)="",INDEX(OHZ_HAZ_TOTUNIT,206,1)="",),FALSE,TRUE),TRUE)</f>
        <v>1</v>
      </c>
      <c r="K463" s="52" t="str">
        <f t="shared" si="16"/>
        <v xml:space="preserve">Row 206 - If ‘Total amount’ is given, then ‘Net / Gross’ and ‘Total amount unit’ are required </v>
      </c>
      <c r="L463" s="236" t="s">
        <v>1853</v>
      </c>
    </row>
    <row r="464" spans="7:12">
      <c r="G464" s="250" t="b">
        <f>IF(OR(INDEX(IHZ_HAZ_TOTAMOUNT,207,1)&lt;&gt;"",),IF(OR(INDEX(IHZ_HAZ_TOTNETGROSS,207,1)="",INDEX(IHZ_HAZ_TOTUNIT,207,1)="",),FALSE,TRUE),TRUE)</f>
        <v>1</v>
      </c>
      <c r="H464" s="52" t="str">
        <f t="shared" si="15"/>
        <v xml:space="preserve">Row 207 - If ‘Total amount’ is given, then ‘Net / Gross’ and ‘Total amount unit’ are required </v>
      </c>
      <c r="I464" s="236" t="s">
        <v>1853</v>
      </c>
      <c r="J464" s="52" t="b">
        <f>IF(OR(INDEX(OHZ_HAZ_TOTAMOUNT,207,1)&lt;&gt;"",),IF(OR(INDEX(OHZ_HAZ_TOTNETGROSS,207,1)="",INDEX(OHZ_HAZ_TOTUNIT,207,1)="",),FALSE,TRUE),TRUE)</f>
        <v>1</v>
      </c>
      <c r="K464" s="52" t="str">
        <f t="shared" si="16"/>
        <v xml:space="preserve">Row 207 - If ‘Total amount’ is given, then ‘Net / Gross’ and ‘Total amount unit’ are required </v>
      </c>
      <c r="L464" s="236" t="s">
        <v>1853</v>
      </c>
    </row>
    <row r="465" spans="7:12">
      <c r="G465" s="250" t="b">
        <f>IF(OR(INDEX(IHZ_HAZ_TOTAMOUNT,208,1)&lt;&gt;"",),IF(OR(INDEX(IHZ_HAZ_TOTNETGROSS,208,1)="",INDEX(IHZ_HAZ_TOTUNIT,208,1)="",),FALSE,TRUE),TRUE)</f>
        <v>1</v>
      </c>
      <c r="H465" s="52" t="str">
        <f t="shared" si="15"/>
        <v xml:space="preserve">Row 208 - If ‘Total amount’ is given, then ‘Net / Gross’ and ‘Total amount unit’ are required </v>
      </c>
      <c r="I465" s="236" t="s">
        <v>1853</v>
      </c>
      <c r="J465" s="52" t="b">
        <f>IF(OR(INDEX(OHZ_HAZ_TOTAMOUNT,208,1)&lt;&gt;"",),IF(OR(INDEX(OHZ_HAZ_TOTNETGROSS,208,1)="",INDEX(OHZ_HAZ_TOTUNIT,208,1)="",),FALSE,TRUE),TRUE)</f>
        <v>1</v>
      </c>
      <c r="K465" s="52" t="str">
        <f t="shared" si="16"/>
        <v xml:space="preserve">Row 208 - If ‘Total amount’ is given, then ‘Net / Gross’ and ‘Total amount unit’ are required </v>
      </c>
      <c r="L465" s="236" t="s">
        <v>1853</v>
      </c>
    </row>
    <row r="466" spans="7:12">
      <c r="G466" s="250" t="b">
        <f>IF(OR(INDEX(IHZ_HAZ_TOTAMOUNT,209,1)&lt;&gt;"",),IF(OR(INDEX(IHZ_HAZ_TOTNETGROSS,209,1)="",INDEX(IHZ_HAZ_TOTUNIT,209,1)="",),FALSE,TRUE),TRUE)</f>
        <v>1</v>
      </c>
      <c r="H466" s="52" t="str">
        <f t="shared" si="15"/>
        <v xml:space="preserve">Row 209 - If ‘Total amount’ is given, then ‘Net / Gross’ and ‘Total amount unit’ are required </v>
      </c>
      <c r="I466" s="236" t="s">
        <v>1853</v>
      </c>
      <c r="J466" s="52" t="b">
        <f>IF(OR(INDEX(OHZ_HAZ_TOTAMOUNT,209,1)&lt;&gt;"",),IF(OR(INDEX(OHZ_HAZ_TOTNETGROSS,209,1)="",INDEX(OHZ_HAZ_TOTUNIT,209,1)="",),FALSE,TRUE),TRUE)</f>
        <v>1</v>
      </c>
      <c r="K466" s="52" t="str">
        <f t="shared" si="16"/>
        <v xml:space="preserve">Row 209 - If ‘Total amount’ is given, then ‘Net / Gross’ and ‘Total amount unit’ are required </v>
      </c>
      <c r="L466" s="236" t="s">
        <v>1853</v>
      </c>
    </row>
    <row r="467" spans="7:12">
      <c r="G467" s="250" t="b">
        <f>IF(OR(INDEX(IHZ_HAZ_TOTAMOUNT,210,1)&lt;&gt;"",),IF(OR(INDEX(IHZ_HAZ_TOTNETGROSS,210,1)="",INDEX(IHZ_HAZ_TOTUNIT,210,1)="",),FALSE,TRUE),TRUE)</f>
        <v>1</v>
      </c>
      <c r="H467" s="52" t="str">
        <f t="shared" si="15"/>
        <v xml:space="preserve">Row 210 - If ‘Total amount’ is given, then ‘Net / Gross’ and ‘Total amount unit’ are required </v>
      </c>
      <c r="I467" s="236" t="s">
        <v>1853</v>
      </c>
      <c r="J467" s="52" t="b">
        <f>IF(OR(INDEX(OHZ_HAZ_TOTAMOUNT,210,1)&lt;&gt;"",),IF(OR(INDEX(OHZ_HAZ_TOTNETGROSS,210,1)="",INDEX(OHZ_HAZ_TOTUNIT,210,1)="",),FALSE,TRUE),TRUE)</f>
        <v>1</v>
      </c>
      <c r="K467" s="52" t="str">
        <f t="shared" si="16"/>
        <v xml:space="preserve">Row 210 - If ‘Total amount’ is given, then ‘Net / Gross’ and ‘Total amount unit’ are required </v>
      </c>
      <c r="L467" s="236" t="s">
        <v>1853</v>
      </c>
    </row>
    <row r="468" spans="7:12">
      <c r="G468" s="250" t="b">
        <f>IF(OR(INDEX(IHZ_HAZ_TOTAMOUNT,211,1)&lt;&gt;"",),IF(OR(INDEX(IHZ_HAZ_TOTNETGROSS,211,1)="",INDEX(IHZ_HAZ_TOTUNIT,211,1)="",),FALSE,TRUE),TRUE)</f>
        <v>1</v>
      </c>
      <c r="H468" s="52" t="str">
        <f t="shared" si="15"/>
        <v xml:space="preserve">Row 211 - If ‘Total amount’ is given, then ‘Net / Gross’ and ‘Total amount unit’ are required </v>
      </c>
      <c r="I468" s="236" t="s">
        <v>1853</v>
      </c>
      <c r="J468" s="52" t="b">
        <f>IF(OR(INDEX(OHZ_HAZ_TOTAMOUNT,211,1)&lt;&gt;"",),IF(OR(INDEX(OHZ_HAZ_TOTNETGROSS,211,1)="",INDEX(OHZ_HAZ_TOTUNIT,211,1)="",),FALSE,TRUE),TRUE)</f>
        <v>1</v>
      </c>
      <c r="K468" s="52" t="str">
        <f t="shared" si="16"/>
        <v xml:space="preserve">Row 211 - If ‘Total amount’ is given, then ‘Net / Gross’ and ‘Total amount unit’ are required </v>
      </c>
      <c r="L468" s="236" t="s">
        <v>1853</v>
      </c>
    </row>
    <row r="469" spans="7:12">
      <c r="G469" s="250" t="b">
        <f>IF(OR(INDEX(IHZ_HAZ_TOTAMOUNT,212,1)&lt;&gt;"",),IF(OR(INDEX(IHZ_HAZ_TOTNETGROSS,212,1)="",INDEX(IHZ_HAZ_TOTUNIT,212,1)="",),FALSE,TRUE),TRUE)</f>
        <v>1</v>
      </c>
      <c r="H469" s="52" t="str">
        <f t="shared" si="15"/>
        <v xml:space="preserve">Row 212 - If ‘Total amount’ is given, then ‘Net / Gross’ and ‘Total amount unit’ are required </v>
      </c>
      <c r="I469" s="236" t="s">
        <v>1853</v>
      </c>
      <c r="J469" s="52" t="b">
        <f>IF(OR(INDEX(OHZ_HAZ_TOTAMOUNT,212,1)&lt;&gt;"",),IF(OR(INDEX(OHZ_HAZ_TOTNETGROSS,212,1)="",INDEX(OHZ_HAZ_TOTUNIT,212,1)="",),FALSE,TRUE),TRUE)</f>
        <v>1</v>
      </c>
      <c r="K469" s="52" t="str">
        <f t="shared" si="16"/>
        <v xml:space="preserve">Row 212 - If ‘Total amount’ is given, then ‘Net / Gross’ and ‘Total amount unit’ are required </v>
      </c>
      <c r="L469" s="236" t="s">
        <v>1853</v>
      </c>
    </row>
    <row r="470" spans="7:12">
      <c r="G470" s="250" t="b">
        <f>IF(OR(INDEX(IHZ_HAZ_TOTAMOUNT,213,1)&lt;&gt;"",),IF(OR(INDEX(IHZ_HAZ_TOTNETGROSS,213,1)="",INDEX(IHZ_HAZ_TOTUNIT,213,1)="",),FALSE,TRUE),TRUE)</f>
        <v>1</v>
      </c>
      <c r="H470" s="52" t="str">
        <f t="shared" si="15"/>
        <v xml:space="preserve">Row 213 - If ‘Total amount’ is given, then ‘Net / Gross’ and ‘Total amount unit’ are required </v>
      </c>
      <c r="I470" s="236" t="s">
        <v>1853</v>
      </c>
      <c r="J470" s="52" t="b">
        <f>IF(OR(INDEX(OHZ_HAZ_TOTAMOUNT,213,1)&lt;&gt;"",),IF(OR(INDEX(OHZ_HAZ_TOTNETGROSS,213,1)="",INDEX(OHZ_HAZ_TOTUNIT,213,1)="",),FALSE,TRUE),TRUE)</f>
        <v>1</v>
      </c>
      <c r="K470" s="52" t="str">
        <f t="shared" si="16"/>
        <v xml:space="preserve">Row 213 - If ‘Total amount’ is given, then ‘Net / Gross’ and ‘Total amount unit’ are required </v>
      </c>
      <c r="L470" s="236" t="s">
        <v>1853</v>
      </c>
    </row>
    <row r="471" spans="7:12">
      <c r="G471" s="250" t="b">
        <f>IF(OR(INDEX(IHZ_HAZ_TOTAMOUNT,214,1)&lt;&gt;"",),IF(OR(INDEX(IHZ_HAZ_TOTNETGROSS,214,1)="",INDEX(IHZ_HAZ_TOTUNIT,214,1)="",),FALSE,TRUE),TRUE)</f>
        <v>1</v>
      </c>
      <c r="H471" s="52" t="str">
        <f t="shared" si="15"/>
        <v xml:space="preserve">Row 214 - If ‘Total amount’ is given, then ‘Net / Gross’ and ‘Total amount unit’ are required </v>
      </c>
      <c r="I471" s="236" t="s">
        <v>1853</v>
      </c>
      <c r="J471" s="52" t="b">
        <f>IF(OR(INDEX(OHZ_HAZ_TOTAMOUNT,214,1)&lt;&gt;"",),IF(OR(INDEX(OHZ_HAZ_TOTNETGROSS,214,1)="",INDEX(OHZ_HAZ_TOTUNIT,214,1)="",),FALSE,TRUE),TRUE)</f>
        <v>1</v>
      </c>
      <c r="K471" s="52" t="str">
        <f t="shared" si="16"/>
        <v xml:space="preserve">Row 214 - If ‘Total amount’ is given, then ‘Net / Gross’ and ‘Total amount unit’ are required </v>
      </c>
      <c r="L471" s="236" t="s">
        <v>1853</v>
      </c>
    </row>
    <row r="472" spans="7:12">
      <c r="G472" s="250" t="b">
        <f>IF(OR(INDEX(IHZ_HAZ_TOTAMOUNT,215,1)&lt;&gt;"",),IF(OR(INDEX(IHZ_HAZ_TOTNETGROSS,215,1)="",INDEX(IHZ_HAZ_TOTUNIT,215,1)="",),FALSE,TRUE),TRUE)</f>
        <v>1</v>
      </c>
      <c r="H472" s="52" t="str">
        <f t="shared" si="15"/>
        <v xml:space="preserve">Row 215 - If ‘Total amount’ is given, then ‘Net / Gross’ and ‘Total amount unit’ are required </v>
      </c>
      <c r="I472" s="236" t="s">
        <v>1853</v>
      </c>
      <c r="J472" s="52" t="b">
        <f>IF(OR(INDEX(OHZ_HAZ_TOTAMOUNT,215,1)&lt;&gt;"",),IF(OR(INDEX(OHZ_HAZ_TOTNETGROSS,215,1)="",INDEX(OHZ_HAZ_TOTUNIT,215,1)="",),FALSE,TRUE),TRUE)</f>
        <v>1</v>
      </c>
      <c r="K472" s="52" t="str">
        <f t="shared" si="16"/>
        <v xml:space="preserve">Row 215 - If ‘Total amount’ is given, then ‘Net / Gross’ and ‘Total amount unit’ are required </v>
      </c>
      <c r="L472" s="236" t="s">
        <v>1853</v>
      </c>
    </row>
    <row r="473" spans="7:12">
      <c r="G473" s="250" t="b">
        <f>IF(OR(INDEX(IHZ_HAZ_TOTAMOUNT,216,1)&lt;&gt;"",),IF(OR(INDEX(IHZ_HAZ_TOTNETGROSS,216,1)="",INDEX(IHZ_HAZ_TOTUNIT,216,1)="",),FALSE,TRUE),TRUE)</f>
        <v>1</v>
      </c>
      <c r="H473" s="52" t="str">
        <f t="shared" si="15"/>
        <v xml:space="preserve">Row 216 - If ‘Total amount’ is given, then ‘Net / Gross’ and ‘Total amount unit’ are required </v>
      </c>
      <c r="I473" s="236" t="s">
        <v>1853</v>
      </c>
      <c r="J473" s="52" t="b">
        <f>IF(OR(INDEX(OHZ_HAZ_TOTAMOUNT,216,1)&lt;&gt;"",),IF(OR(INDEX(OHZ_HAZ_TOTNETGROSS,216,1)="",INDEX(OHZ_HAZ_TOTUNIT,216,1)="",),FALSE,TRUE),TRUE)</f>
        <v>1</v>
      </c>
      <c r="K473" s="52" t="str">
        <f t="shared" si="16"/>
        <v xml:space="preserve">Row 216 - If ‘Total amount’ is given, then ‘Net / Gross’ and ‘Total amount unit’ are required </v>
      </c>
      <c r="L473" s="236" t="s">
        <v>1853</v>
      </c>
    </row>
    <row r="474" spans="7:12">
      <c r="G474" s="250" t="b">
        <f>IF(OR(INDEX(IHZ_HAZ_TOTAMOUNT,217,1)&lt;&gt;"",),IF(OR(INDEX(IHZ_HAZ_TOTNETGROSS,217,1)="",INDEX(IHZ_HAZ_TOTUNIT,217,1)="",),FALSE,TRUE),TRUE)</f>
        <v>1</v>
      </c>
      <c r="H474" s="52" t="str">
        <f t="shared" si="15"/>
        <v xml:space="preserve">Row 217 - If ‘Total amount’ is given, then ‘Net / Gross’ and ‘Total amount unit’ are required </v>
      </c>
      <c r="I474" s="236" t="s">
        <v>1853</v>
      </c>
      <c r="J474" s="52" t="b">
        <f>IF(OR(INDEX(OHZ_HAZ_TOTAMOUNT,217,1)&lt;&gt;"",),IF(OR(INDEX(OHZ_HAZ_TOTNETGROSS,217,1)="",INDEX(OHZ_HAZ_TOTUNIT,217,1)="",),FALSE,TRUE),TRUE)</f>
        <v>1</v>
      </c>
      <c r="K474" s="52" t="str">
        <f t="shared" si="16"/>
        <v xml:space="preserve">Row 217 - If ‘Total amount’ is given, then ‘Net / Gross’ and ‘Total amount unit’ are required </v>
      </c>
      <c r="L474" s="236" t="s">
        <v>1853</v>
      </c>
    </row>
    <row r="475" spans="7:12">
      <c r="G475" s="250" t="b">
        <f>IF(OR(INDEX(IHZ_HAZ_TOTAMOUNT,218,1)&lt;&gt;"",),IF(OR(INDEX(IHZ_HAZ_TOTNETGROSS,218,1)="",INDEX(IHZ_HAZ_TOTUNIT,218,1)="",),FALSE,TRUE),TRUE)</f>
        <v>1</v>
      </c>
      <c r="H475" s="52" t="str">
        <f t="shared" si="15"/>
        <v xml:space="preserve">Row 218 - If ‘Total amount’ is given, then ‘Net / Gross’ and ‘Total amount unit’ are required </v>
      </c>
      <c r="I475" s="236" t="s">
        <v>1853</v>
      </c>
      <c r="J475" s="52" t="b">
        <f>IF(OR(INDEX(OHZ_HAZ_TOTAMOUNT,218,1)&lt;&gt;"",),IF(OR(INDEX(OHZ_HAZ_TOTNETGROSS,218,1)="",INDEX(OHZ_HAZ_TOTUNIT,218,1)="",),FALSE,TRUE),TRUE)</f>
        <v>1</v>
      </c>
      <c r="K475" s="52" t="str">
        <f t="shared" si="16"/>
        <v xml:space="preserve">Row 218 - If ‘Total amount’ is given, then ‘Net / Gross’ and ‘Total amount unit’ are required </v>
      </c>
      <c r="L475" s="236" t="s">
        <v>1853</v>
      </c>
    </row>
    <row r="476" spans="7:12">
      <c r="G476" s="250" t="b">
        <f>IF(OR(INDEX(IHZ_HAZ_TOTAMOUNT,219,1)&lt;&gt;"",),IF(OR(INDEX(IHZ_HAZ_TOTNETGROSS,219,1)="",INDEX(IHZ_HAZ_TOTUNIT,219,1)="",),FALSE,TRUE),TRUE)</f>
        <v>1</v>
      </c>
      <c r="H476" s="52" t="str">
        <f t="shared" si="15"/>
        <v xml:space="preserve">Row 219 - If ‘Total amount’ is given, then ‘Net / Gross’ and ‘Total amount unit’ are required </v>
      </c>
      <c r="I476" s="236" t="s">
        <v>1853</v>
      </c>
      <c r="J476" s="52" t="b">
        <f>IF(OR(INDEX(OHZ_HAZ_TOTAMOUNT,219,1)&lt;&gt;"",),IF(OR(INDEX(OHZ_HAZ_TOTNETGROSS,219,1)="",INDEX(OHZ_HAZ_TOTUNIT,219,1)="",),FALSE,TRUE),TRUE)</f>
        <v>1</v>
      </c>
      <c r="K476" s="52" t="str">
        <f t="shared" si="16"/>
        <v xml:space="preserve">Row 219 - If ‘Total amount’ is given, then ‘Net / Gross’ and ‘Total amount unit’ are required </v>
      </c>
      <c r="L476" s="236" t="s">
        <v>1853</v>
      </c>
    </row>
    <row r="477" spans="7:12">
      <c r="G477" s="250" t="b">
        <f>IF(OR(INDEX(IHZ_HAZ_TOTAMOUNT,220,1)&lt;&gt;"",),IF(OR(INDEX(IHZ_HAZ_TOTNETGROSS,220,1)="",INDEX(IHZ_HAZ_TOTUNIT,220,1)="",),FALSE,TRUE),TRUE)</f>
        <v>1</v>
      </c>
      <c r="H477" s="52" t="str">
        <f t="shared" si="15"/>
        <v xml:space="preserve">Row 220 - If ‘Total amount’ is given, then ‘Net / Gross’ and ‘Total amount unit’ are required </v>
      </c>
      <c r="I477" s="236" t="s">
        <v>1853</v>
      </c>
      <c r="J477" s="52" t="b">
        <f>IF(OR(INDEX(OHZ_HAZ_TOTAMOUNT,220,1)&lt;&gt;"",),IF(OR(INDEX(OHZ_HAZ_TOTNETGROSS,220,1)="",INDEX(OHZ_HAZ_TOTUNIT,220,1)="",),FALSE,TRUE),TRUE)</f>
        <v>1</v>
      </c>
      <c r="K477" s="52" t="str">
        <f t="shared" si="16"/>
        <v xml:space="preserve">Row 220 - If ‘Total amount’ is given, then ‘Net / Gross’ and ‘Total amount unit’ are required </v>
      </c>
      <c r="L477" s="236" t="s">
        <v>1853</v>
      </c>
    </row>
    <row r="478" spans="7:12">
      <c r="G478" s="250" t="b">
        <f>IF(OR(INDEX(IHZ_HAZ_TOTAMOUNT,221,1)&lt;&gt;"",),IF(OR(INDEX(IHZ_HAZ_TOTNETGROSS,221,1)="",INDEX(IHZ_HAZ_TOTUNIT,221,1)="",),FALSE,TRUE),TRUE)</f>
        <v>1</v>
      </c>
      <c r="H478" s="52" t="str">
        <f t="shared" si="15"/>
        <v xml:space="preserve">Row 221 - If ‘Total amount’ is given, then ‘Net / Gross’ and ‘Total amount unit’ are required </v>
      </c>
      <c r="I478" s="236" t="s">
        <v>1853</v>
      </c>
      <c r="J478" s="52" t="b">
        <f>IF(OR(INDEX(OHZ_HAZ_TOTAMOUNT,221,1)&lt;&gt;"",),IF(OR(INDEX(OHZ_HAZ_TOTNETGROSS,221,1)="",INDEX(OHZ_HAZ_TOTUNIT,221,1)="",),FALSE,TRUE),TRUE)</f>
        <v>1</v>
      </c>
      <c r="K478" s="52" t="str">
        <f t="shared" si="16"/>
        <v xml:space="preserve">Row 221 - If ‘Total amount’ is given, then ‘Net / Gross’ and ‘Total amount unit’ are required </v>
      </c>
      <c r="L478" s="236" t="s">
        <v>1853</v>
      </c>
    </row>
    <row r="479" spans="7:12">
      <c r="G479" s="250" t="b">
        <f>IF(OR(INDEX(IHZ_HAZ_TOTAMOUNT,222,1)&lt;&gt;"",),IF(OR(INDEX(IHZ_HAZ_TOTNETGROSS,222,1)="",INDEX(IHZ_HAZ_TOTUNIT,222,1)="",),FALSE,TRUE),TRUE)</f>
        <v>1</v>
      </c>
      <c r="H479" s="52" t="str">
        <f t="shared" si="15"/>
        <v xml:space="preserve">Row 222 - If ‘Total amount’ is given, then ‘Net / Gross’ and ‘Total amount unit’ are required </v>
      </c>
      <c r="I479" s="236" t="s">
        <v>1853</v>
      </c>
      <c r="J479" s="52" t="b">
        <f>IF(OR(INDEX(OHZ_HAZ_TOTAMOUNT,222,1)&lt;&gt;"",),IF(OR(INDEX(OHZ_HAZ_TOTNETGROSS,222,1)="",INDEX(OHZ_HAZ_TOTUNIT,222,1)="",),FALSE,TRUE),TRUE)</f>
        <v>1</v>
      </c>
      <c r="K479" s="52" t="str">
        <f t="shared" si="16"/>
        <v xml:space="preserve">Row 222 - If ‘Total amount’ is given, then ‘Net / Gross’ and ‘Total amount unit’ are required </v>
      </c>
      <c r="L479" s="236" t="s">
        <v>1853</v>
      </c>
    </row>
    <row r="480" spans="7:12">
      <c r="G480" s="250" t="b">
        <f>IF(OR(INDEX(IHZ_HAZ_TOTAMOUNT,223,1)&lt;&gt;"",),IF(OR(INDEX(IHZ_HAZ_TOTNETGROSS,223,1)="",INDEX(IHZ_HAZ_TOTUNIT,223,1)="",),FALSE,TRUE),TRUE)</f>
        <v>1</v>
      </c>
      <c r="H480" s="52" t="str">
        <f t="shared" si="15"/>
        <v xml:space="preserve">Row 223 - If ‘Total amount’ is given, then ‘Net / Gross’ and ‘Total amount unit’ are required </v>
      </c>
      <c r="I480" s="236" t="s">
        <v>1853</v>
      </c>
      <c r="J480" s="52" t="b">
        <f>IF(OR(INDEX(OHZ_HAZ_TOTAMOUNT,223,1)&lt;&gt;"",),IF(OR(INDEX(OHZ_HAZ_TOTNETGROSS,223,1)="",INDEX(OHZ_HAZ_TOTUNIT,223,1)="",),FALSE,TRUE),TRUE)</f>
        <v>1</v>
      </c>
      <c r="K480" s="52" t="str">
        <f t="shared" si="16"/>
        <v xml:space="preserve">Row 223 - If ‘Total amount’ is given, then ‘Net / Gross’ and ‘Total amount unit’ are required </v>
      </c>
      <c r="L480" s="236" t="s">
        <v>1853</v>
      </c>
    </row>
    <row r="481" spans="7:12">
      <c r="G481" s="250" t="b">
        <f>IF(OR(INDEX(IHZ_HAZ_TOTAMOUNT,224,1)&lt;&gt;"",),IF(OR(INDEX(IHZ_HAZ_TOTNETGROSS,224,1)="",INDEX(IHZ_HAZ_TOTUNIT,224,1)="",),FALSE,TRUE),TRUE)</f>
        <v>1</v>
      </c>
      <c r="H481" s="52" t="str">
        <f t="shared" si="15"/>
        <v xml:space="preserve">Row 224 - If ‘Total amount’ is given, then ‘Net / Gross’ and ‘Total amount unit’ are required </v>
      </c>
      <c r="I481" s="236" t="s">
        <v>1853</v>
      </c>
      <c r="J481" s="52" t="b">
        <f>IF(OR(INDEX(OHZ_HAZ_TOTAMOUNT,224,1)&lt;&gt;"",),IF(OR(INDEX(OHZ_HAZ_TOTNETGROSS,224,1)="",INDEX(OHZ_HAZ_TOTUNIT,224,1)="",),FALSE,TRUE),TRUE)</f>
        <v>1</v>
      </c>
      <c r="K481" s="52" t="str">
        <f t="shared" si="16"/>
        <v xml:space="preserve">Row 224 - If ‘Total amount’ is given, then ‘Net / Gross’ and ‘Total amount unit’ are required </v>
      </c>
      <c r="L481" s="236" t="s">
        <v>1853</v>
      </c>
    </row>
    <row r="482" spans="7:12">
      <c r="G482" s="250" t="b">
        <f>IF(OR(INDEX(IHZ_HAZ_TOTAMOUNT,225,1)&lt;&gt;"",),IF(OR(INDEX(IHZ_HAZ_TOTNETGROSS,225,1)="",INDEX(IHZ_HAZ_TOTUNIT,225,1)="",),FALSE,TRUE),TRUE)</f>
        <v>1</v>
      </c>
      <c r="H482" s="52" t="str">
        <f t="shared" si="15"/>
        <v xml:space="preserve">Row 225 - If ‘Total amount’ is given, then ‘Net / Gross’ and ‘Total amount unit’ are required </v>
      </c>
      <c r="I482" s="236" t="s">
        <v>1853</v>
      </c>
      <c r="J482" s="52" t="b">
        <f>IF(OR(INDEX(OHZ_HAZ_TOTAMOUNT,225,1)&lt;&gt;"",),IF(OR(INDEX(OHZ_HAZ_TOTNETGROSS,225,1)="",INDEX(OHZ_HAZ_TOTUNIT,225,1)="",),FALSE,TRUE),TRUE)</f>
        <v>1</v>
      </c>
      <c r="K482" s="52" t="str">
        <f t="shared" si="16"/>
        <v xml:space="preserve">Row 225 - If ‘Total amount’ is given, then ‘Net / Gross’ and ‘Total amount unit’ are required </v>
      </c>
      <c r="L482" s="236" t="s">
        <v>1853</v>
      </c>
    </row>
    <row r="483" spans="7:12">
      <c r="G483" s="250" t="b">
        <f>IF(OR(INDEX(IHZ_HAZ_TOTAMOUNT,226,1)&lt;&gt;"",),IF(OR(INDEX(IHZ_HAZ_TOTNETGROSS,226,1)="",INDEX(IHZ_HAZ_TOTUNIT,226,1)="",),FALSE,TRUE),TRUE)</f>
        <v>1</v>
      </c>
      <c r="H483" s="52" t="str">
        <f t="shared" si="15"/>
        <v xml:space="preserve">Row 226 - If ‘Total amount’ is given, then ‘Net / Gross’ and ‘Total amount unit’ are required </v>
      </c>
      <c r="I483" s="236" t="s">
        <v>1853</v>
      </c>
      <c r="J483" s="52" t="b">
        <f>IF(OR(INDEX(OHZ_HAZ_TOTAMOUNT,226,1)&lt;&gt;"",),IF(OR(INDEX(OHZ_HAZ_TOTNETGROSS,226,1)="",INDEX(OHZ_HAZ_TOTUNIT,226,1)="",),FALSE,TRUE),TRUE)</f>
        <v>1</v>
      </c>
      <c r="K483" s="52" t="str">
        <f t="shared" si="16"/>
        <v xml:space="preserve">Row 226 - If ‘Total amount’ is given, then ‘Net / Gross’ and ‘Total amount unit’ are required </v>
      </c>
      <c r="L483" s="236" t="s">
        <v>1853</v>
      </c>
    </row>
    <row r="484" spans="7:12">
      <c r="G484" s="250" t="b">
        <f>IF(OR(INDEX(IHZ_HAZ_TOTAMOUNT,227,1)&lt;&gt;"",),IF(OR(INDEX(IHZ_HAZ_TOTNETGROSS,227,1)="",INDEX(IHZ_HAZ_TOTUNIT,227,1)="",),FALSE,TRUE),TRUE)</f>
        <v>1</v>
      </c>
      <c r="H484" s="52" t="str">
        <f t="shared" si="15"/>
        <v xml:space="preserve">Row 227 - If ‘Total amount’ is given, then ‘Net / Gross’ and ‘Total amount unit’ are required </v>
      </c>
      <c r="I484" s="236" t="s">
        <v>1853</v>
      </c>
      <c r="J484" s="52" t="b">
        <f>IF(OR(INDEX(OHZ_HAZ_TOTAMOUNT,227,1)&lt;&gt;"",),IF(OR(INDEX(OHZ_HAZ_TOTNETGROSS,227,1)="",INDEX(OHZ_HAZ_TOTUNIT,227,1)="",),FALSE,TRUE),TRUE)</f>
        <v>1</v>
      </c>
      <c r="K484" s="52" t="str">
        <f t="shared" si="16"/>
        <v xml:space="preserve">Row 227 - If ‘Total amount’ is given, then ‘Net / Gross’ and ‘Total amount unit’ are required </v>
      </c>
      <c r="L484" s="236" t="s">
        <v>1853</v>
      </c>
    </row>
    <row r="485" spans="7:12">
      <c r="G485" s="250" t="b">
        <f>IF(OR(INDEX(IHZ_HAZ_TOTAMOUNT,228,1)&lt;&gt;"",),IF(OR(INDEX(IHZ_HAZ_TOTNETGROSS,228,1)="",INDEX(IHZ_HAZ_TOTUNIT,228,1)="",),FALSE,TRUE),TRUE)</f>
        <v>1</v>
      </c>
      <c r="H485" s="52" t="str">
        <f t="shared" si="15"/>
        <v xml:space="preserve">Row 228 - If ‘Total amount’ is given, then ‘Net / Gross’ and ‘Total amount unit’ are required </v>
      </c>
      <c r="I485" s="236" t="s">
        <v>1853</v>
      </c>
      <c r="J485" s="52" t="b">
        <f>IF(OR(INDEX(OHZ_HAZ_TOTAMOUNT,228,1)&lt;&gt;"",),IF(OR(INDEX(OHZ_HAZ_TOTNETGROSS,228,1)="",INDEX(OHZ_HAZ_TOTUNIT,228,1)="",),FALSE,TRUE),TRUE)</f>
        <v>1</v>
      </c>
      <c r="K485" s="52" t="str">
        <f t="shared" si="16"/>
        <v xml:space="preserve">Row 228 - If ‘Total amount’ is given, then ‘Net / Gross’ and ‘Total amount unit’ are required </v>
      </c>
      <c r="L485" s="236" t="s">
        <v>1853</v>
      </c>
    </row>
    <row r="486" spans="7:12">
      <c r="G486" s="250" t="b">
        <f>IF(OR(INDEX(IHZ_HAZ_TOTAMOUNT,229,1)&lt;&gt;"",),IF(OR(INDEX(IHZ_HAZ_TOTNETGROSS,229,1)="",INDEX(IHZ_HAZ_TOTUNIT,229,1)="",),FALSE,TRUE),TRUE)</f>
        <v>1</v>
      </c>
      <c r="H486" s="52" t="str">
        <f t="shared" si="15"/>
        <v xml:space="preserve">Row 229 - If ‘Total amount’ is given, then ‘Net / Gross’ and ‘Total amount unit’ are required </v>
      </c>
      <c r="I486" s="236" t="s">
        <v>1853</v>
      </c>
      <c r="J486" s="52" t="b">
        <f>IF(OR(INDEX(OHZ_HAZ_TOTAMOUNT,229,1)&lt;&gt;"",),IF(OR(INDEX(OHZ_HAZ_TOTNETGROSS,229,1)="",INDEX(OHZ_HAZ_TOTUNIT,229,1)="",),FALSE,TRUE),TRUE)</f>
        <v>1</v>
      </c>
      <c r="K486" s="52" t="str">
        <f t="shared" si="16"/>
        <v xml:space="preserve">Row 229 - If ‘Total amount’ is given, then ‘Net / Gross’ and ‘Total amount unit’ are required </v>
      </c>
      <c r="L486" s="236" t="s">
        <v>1853</v>
      </c>
    </row>
    <row r="487" spans="7:12">
      <c r="G487" s="250" t="b">
        <f>IF(OR(INDEX(IHZ_HAZ_TOTAMOUNT,230,1)&lt;&gt;"",),IF(OR(INDEX(IHZ_HAZ_TOTNETGROSS,230,1)="",INDEX(IHZ_HAZ_TOTUNIT,230,1)="",),FALSE,TRUE),TRUE)</f>
        <v>1</v>
      </c>
      <c r="H487" s="52" t="str">
        <f t="shared" si="15"/>
        <v xml:space="preserve">Row 230 - If ‘Total amount’ is given, then ‘Net / Gross’ and ‘Total amount unit’ are required </v>
      </c>
      <c r="I487" s="236" t="s">
        <v>1853</v>
      </c>
      <c r="J487" s="52" t="b">
        <f>IF(OR(INDEX(OHZ_HAZ_TOTAMOUNT,230,1)&lt;&gt;"",),IF(OR(INDEX(OHZ_HAZ_TOTNETGROSS,230,1)="",INDEX(OHZ_HAZ_TOTUNIT,230,1)="",),FALSE,TRUE),TRUE)</f>
        <v>1</v>
      </c>
      <c r="K487" s="52" t="str">
        <f t="shared" si="16"/>
        <v xml:space="preserve">Row 230 - If ‘Total amount’ is given, then ‘Net / Gross’ and ‘Total amount unit’ are required </v>
      </c>
      <c r="L487" s="236" t="s">
        <v>1853</v>
      </c>
    </row>
    <row r="488" spans="7:12">
      <c r="G488" s="250" t="b">
        <f>IF(OR(INDEX(IHZ_HAZ_TOTAMOUNT,231,1)&lt;&gt;"",),IF(OR(INDEX(IHZ_HAZ_TOTNETGROSS,231,1)="",INDEX(IHZ_HAZ_TOTUNIT,231,1)="",),FALSE,TRUE),TRUE)</f>
        <v>1</v>
      </c>
      <c r="H488" s="52" t="str">
        <f t="shared" si="15"/>
        <v xml:space="preserve">Row 231 - If ‘Total amount’ is given, then ‘Net / Gross’ and ‘Total amount unit’ are required </v>
      </c>
      <c r="I488" s="236" t="s">
        <v>1853</v>
      </c>
      <c r="J488" s="52" t="b">
        <f>IF(OR(INDEX(OHZ_HAZ_TOTAMOUNT,231,1)&lt;&gt;"",),IF(OR(INDEX(OHZ_HAZ_TOTNETGROSS,231,1)="",INDEX(OHZ_HAZ_TOTUNIT,231,1)="",),FALSE,TRUE),TRUE)</f>
        <v>1</v>
      </c>
      <c r="K488" s="52" t="str">
        <f t="shared" si="16"/>
        <v xml:space="preserve">Row 231 - If ‘Total amount’ is given, then ‘Net / Gross’ and ‘Total amount unit’ are required </v>
      </c>
      <c r="L488" s="236" t="s">
        <v>1853</v>
      </c>
    </row>
    <row r="489" spans="7:12">
      <c r="G489" s="250" t="b">
        <f>IF(OR(INDEX(IHZ_HAZ_TOTAMOUNT,232,1)&lt;&gt;"",),IF(OR(INDEX(IHZ_HAZ_TOTNETGROSS,232,1)="",INDEX(IHZ_HAZ_TOTUNIT,232,1)="",),FALSE,TRUE),TRUE)</f>
        <v>1</v>
      </c>
      <c r="H489" s="52" t="str">
        <f t="shared" si="15"/>
        <v xml:space="preserve">Row 232 - If ‘Total amount’ is given, then ‘Net / Gross’ and ‘Total amount unit’ are required </v>
      </c>
      <c r="I489" s="236" t="s">
        <v>1853</v>
      </c>
      <c r="J489" s="52" t="b">
        <f>IF(OR(INDEX(OHZ_HAZ_TOTAMOUNT,232,1)&lt;&gt;"",),IF(OR(INDEX(OHZ_HAZ_TOTNETGROSS,232,1)="",INDEX(OHZ_HAZ_TOTUNIT,232,1)="",),FALSE,TRUE),TRUE)</f>
        <v>1</v>
      </c>
      <c r="K489" s="52" t="str">
        <f t="shared" si="16"/>
        <v xml:space="preserve">Row 232 - If ‘Total amount’ is given, then ‘Net / Gross’ and ‘Total amount unit’ are required </v>
      </c>
      <c r="L489" s="236" t="s">
        <v>1853</v>
      </c>
    </row>
    <row r="490" spans="7:12">
      <c r="G490" s="250" t="b">
        <f>IF(OR(INDEX(IHZ_HAZ_TOTAMOUNT,233,1)&lt;&gt;"",),IF(OR(INDEX(IHZ_HAZ_TOTNETGROSS,233,1)="",INDEX(IHZ_HAZ_TOTUNIT,233,1)="",),FALSE,TRUE),TRUE)</f>
        <v>1</v>
      </c>
      <c r="H490" s="52" t="str">
        <f t="shared" si="15"/>
        <v xml:space="preserve">Row 233 - If ‘Total amount’ is given, then ‘Net / Gross’ and ‘Total amount unit’ are required </v>
      </c>
      <c r="I490" s="236" t="s">
        <v>1853</v>
      </c>
      <c r="J490" s="52" t="b">
        <f>IF(OR(INDEX(OHZ_HAZ_TOTAMOUNT,233,1)&lt;&gt;"",),IF(OR(INDEX(OHZ_HAZ_TOTNETGROSS,233,1)="",INDEX(OHZ_HAZ_TOTUNIT,233,1)="",),FALSE,TRUE),TRUE)</f>
        <v>1</v>
      </c>
      <c r="K490" s="52" t="str">
        <f t="shared" si="16"/>
        <v xml:space="preserve">Row 233 - If ‘Total amount’ is given, then ‘Net / Gross’ and ‘Total amount unit’ are required </v>
      </c>
      <c r="L490" s="236" t="s">
        <v>1853</v>
      </c>
    </row>
    <row r="491" spans="7:12">
      <c r="G491" s="250" t="b">
        <f>IF(OR(INDEX(IHZ_HAZ_TOTAMOUNT,234,1)&lt;&gt;"",),IF(OR(INDEX(IHZ_HAZ_TOTNETGROSS,234,1)="",INDEX(IHZ_HAZ_TOTUNIT,234,1)="",),FALSE,TRUE),TRUE)</f>
        <v>1</v>
      </c>
      <c r="H491" s="52" t="str">
        <f t="shared" si="15"/>
        <v xml:space="preserve">Row 234 - If ‘Total amount’ is given, then ‘Net / Gross’ and ‘Total amount unit’ are required </v>
      </c>
      <c r="I491" s="236" t="s">
        <v>1853</v>
      </c>
      <c r="J491" s="52" t="b">
        <f>IF(OR(INDEX(OHZ_HAZ_TOTAMOUNT,234,1)&lt;&gt;"",),IF(OR(INDEX(OHZ_HAZ_TOTNETGROSS,234,1)="",INDEX(OHZ_HAZ_TOTUNIT,234,1)="",),FALSE,TRUE),TRUE)</f>
        <v>1</v>
      </c>
      <c r="K491" s="52" t="str">
        <f t="shared" si="16"/>
        <v xml:space="preserve">Row 234 - If ‘Total amount’ is given, then ‘Net / Gross’ and ‘Total amount unit’ are required </v>
      </c>
      <c r="L491" s="236" t="s">
        <v>1853</v>
      </c>
    </row>
    <row r="492" spans="7:12">
      <c r="G492" s="250" t="b">
        <f>IF(OR(INDEX(IHZ_HAZ_TOTAMOUNT,235,1)&lt;&gt;"",),IF(OR(INDEX(IHZ_HAZ_TOTNETGROSS,235,1)="",INDEX(IHZ_HAZ_TOTUNIT,235,1)="",),FALSE,TRUE),TRUE)</f>
        <v>1</v>
      </c>
      <c r="H492" s="52" t="str">
        <f t="shared" si="15"/>
        <v xml:space="preserve">Row 235 - If ‘Total amount’ is given, then ‘Net / Gross’ and ‘Total amount unit’ are required </v>
      </c>
      <c r="I492" s="236" t="s">
        <v>1853</v>
      </c>
      <c r="J492" s="52" t="b">
        <f>IF(OR(INDEX(OHZ_HAZ_TOTAMOUNT,235,1)&lt;&gt;"",),IF(OR(INDEX(OHZ_HAZ_TOTNETGROSS,235,1)="",INDEX(OHZ_HAZ_TOTUNIT,235,1)="",),FALSE,TRUE),TRUE)</f>
        <v>1</v>
      </c>
      <c r="K492" s="52" t="str">
        <f t="shared" si="16"/>
        <v xml:space="preserve">Row 235 - If ‘Total amount’ is given, then ‘Net / Gross’ and ‘Total amount unit’ are required </v>
      </c>
      <c r="L492" s="236" t="s">
        <v>1853</v>
      </c>
    </row>
    <row r="493" spans="7:12">
      <c r="G493" s="250" t="b">
        <f>IF(OR(INDEX(IHZ_HAZ_TOTAMOUNT,236,1)&lt;&gt;"",),IF(OR(INDEX(IHZ_HAZ_TOTNETGROSS,236,1)="",INDEX(IHZ_HAZ_TOTUNIT,236,1)="",),FALSE,TRUE),TRUE)</f>
        <v>1</v>
      </c>
      <c r="H493" s="52" t="str">
        <f t="shared" si="15"/>
        <v xml:space="preserve">Row 236 - If ‘Total amount’ is given, then ‘Net / Gross’ and ‘Total amount unit’ are required </v>
      </c>
      <c r="I493" s="236" t="s">
        <v>1853</v>
      </c>
      <c r="J493" s="52" t="b">
        <f>IF(OR(INDEX(OHZ_HAZ_TOTAMOUNT,236,1)&lt;&gt;"",),IF(OR(INDEX(OHZ_HAZ_TOTNETGROSS,236,1)="",INDEX(OHZ_HAZ_TOTUNIT,236,1)="",),FALSE,TRUE),TRUE)</f>
        <v>1</v>
      </c>
      <c r="K493" s="52" t="str">
        <f t="shared" si="16"/>
        <v xml:space="preserve">Row 236 - If ‘Total amount’ is given, then ‘Net / Gross’ and ‘Total amount unit’ are required </v>
      </c>
      <c r="L493" s="236" t="s">
        <v>1853</v>
      </c>
    </row>
    <row r="494" spans="7:12">
      <c r="G494" s="250" t="b">
        <f>IF(OR(INDEX(IHZ_HAZ_TOTAMOUNT,237,1)&lt;&gt;"",),IF(OR(INDEX(IHZ_HAZ_TOTNETGROSS,237,1)="",INDEX(IHZ_HAZ_TOTUNIT,237,1)="",),FALSE,TRUE),TRUE)</f>
        <v>1</v>
      </c>
      <c r="H494" s="52" t="str">
        <f t="shared" si="15"/>
        <v xml:space="preserve">Row 237 - If ‘Total amount’ is given, then ‘Net / Gross’ and ‘Total amount unit’ are required </v>
      </c>
      <c r="I494" s="236" t="s">
        <v>1853</v>
      </c>
      <c r="J494" s="52" t="b">
        <f>IF(OR(INDEX(OHZ_HAZ_TOTAMOUNT,237,1)&lt;&gt;"",),IF(OR(INDEX(OHZ_HAZ_TOTNETGROSS,237,1)="",INDEX(OHZ_HAZ_TOTUNIT,237,1)="",),FALSE,TRUE),TRUE)</f>
        <v>1</v>
      </c>
      <c r="K494" s="52" t="str">
        <f t="shared" si="16"/>
        <v xml:space="preserve">Row 237 - If ‘Total amount’ is given, then ‘Net / Gross’ and ‘Total amount unit’ are required </v>
      </c>
      <c r="L494" s="236" t="s">
        <v>1853</v>
      </c>
    </row>
    <row r="495" spans="7:12">
      <c r="G495" s="250" t="b">
        <f>IF(OR(INDEX(IHZ_HAZ_TOTAMOUNT,238,1)&lt;&gt;"",),IF(OR(INDEX(IHZ_HAZ_TOTNETGROSS,238,1)="",INDEX(IHZ_HAZ_TOTUNIT,238,1)="",),FALSE,TRUE),TRUE)</f>
        <v>1</v>
      </c>
      <c r="H495" s="52" t="str">
        <f t="shared" si="15"/>
        <v xml:space="preserve">Row 238 - If ‘Total amount’ is given, then ‘Net / Gross’ and ‘Total amount unit’ are required </v>
      </c>
      <c r="I495" s="236" t="s">
        <v>1853</v>
      </c>
      <c r="J495" s="52" t="b">
        <f>IF(OR(INDEX(OHZ_HAZ_TOTAMOUNT,238,1)&lt;&gt;"",),IF(OR(INDEX(OHZ_HAZ_TOTNETGROSS,238,1)="",INDEX(OHZ_HAZ_TOTUNIT,238,1)="",),FALSE,TRUE),TRUE)</f>
        <v>1</v>
      </c>
      <c r="K495" s="52" t="str">
        <f t="shared" si="16"/>
        <v xml:space="preserve">Row 238 - If ‘Total amount’ is given, then ‘Net / Gross’ and ‘Total amount unit’ are required </v>
      </c>
      <c r="L495" s="236" t="s">
        <v>1853</v>
      </c>
    </row>
    <row r="496" spans="7:12">
      <c r="G496" s="250" t="b">
        <f>IF(OR(INDEX(IHZ_HAZ_TOTAMOUNT,239,1)&lt;&gt;"",),IF(OR(INDEX(IHZ_HAZ_TOTNETGROSS,239,1)="",INDEX(IHZ_HAZ_TOTUNIT,239,1)="",),FALSE,TRUE),TRUE)</f>
        <v>1</v>
      </c>
      <c r="H496" s="52" t="str">
        <f t="shared" si="15"/>
        <v xml:space="preserve">Row 239 - If ‘Total amount’ is given, then ‘Net / Gross’ and ‘Total amount unit’ are required </v>
      </c>
      <c r="I496" s="236" t="s">
        <v>1853</v>
      </c>
      <c r="J496" s="52" t="b">
        <f>IF(OR(INDEX(OHZ_HAZ_TOTAMOUNT,239,1)&lt;&gt;"",),IF(OR(INDEX(OHZ_HAZ_TOTNETGROSS,239,1)="",INDEX(OHZ_HAZ_TOTUNIT,239,1)="",),FALSE,TRUE),TRUE)</f>
        <v>1</v>
      </c>
      <c r="K496" s="52" t="str">
        <f t="shared" si="16"/>
        <v xml:space="preserve">Row 239 - If ‘Total amount’ is given, then ‘Net / Gross’ and ‘Total amount unit’ are required </v>
      </c>
      <c r="L496" s="236" t="s">
        <v>1853</v>
      </c>
    </row>
    <row r="497" spans="7:12">
      <c r="G497" s="250" t="b">
        <f>IF(OR(INDEX(IHZ_HAZ_TOTAMOUNT,240,1)&lt;&gt;"",),IF(OR(INDEX(IHZ_HAZ_TOTNETGROSS,240,1)="",INDEX(IHZ_HAZ_TOTUNIT,240,1)="",),FALSE,TRUE),TRUE)</f>
        <v>1</v>
      </c>
      <c r="H497" s="52" t="str">
        <f t="shared" si="15"/>
        <v xml:space="preserve">Row 240 - If ‘Total amount’ is given, then ‘Net / Gross’ and ‘Total amount unit’ are required </v>
      </c>
      <c r="I497" s="236" t="s">
        <v>1853</v>
      </c>
      <c r="J497" s="52" t="b">
        <f>IF(OR(INDEX(OHZ_HAZ_TOTAMOUNT,240,1)&lt;&gt;"",),IF(OR(INDEX(OHZ_HAZ_TOTNETGROSS,240,1)="",INDEX(OHZ_HAZ_TOTUNIT,240,1)="",),FALSE,TRUE),TRUE)</f>
        <v>1</v>
      </c>
      <c r="K497" s="52" t="str">
        <f t="shared" si="16"/>
        <v xml:space="preserve">Row 240 - If ‘Total amount’ is given, then ‘Net / Gross’ and ‘Total amount unit’ are required </v>
      </c>
      <c r="L497" s="236" t="s">
        <v>1853</v>
      </c>
    </row>
    <row r="498" spans="7:12">
      <c r="G498" s="250" t="b">
        <f>IF(OR(INDEX(IHZ_HAZ_TOTAMOUNT,241,1)&lt;&gt;"",),IF(OR(INDEX(IHZ_HAZ_TOTNETGROSS,241,1)="",INDEX(IHZ_HAZ_TOTUNIT,241,1)="",),FALSE,TRUE),TRUE)</f>
        <v>1</v>
      </c>
      <c r="H498" s="52" t="str">
        <f t="shared" si="15"/>
        <v xml:space="preserve">Row 241 - If ‘Total amount’ is given, then ‘Net / Gross’ and ‘Total amount unit’ are required </v>
      </c>
      <c r="I498" s="236" t="s">
        <v>1853</v>
      </c>
      <c r="J498" s="52" t="b">
        <f>IF(OR(INDEX(OHZ_HAZ_TOTAMOUNT,241,1)&lt;&gt;"",),IF(OR(INDEX(OHZ_HAZ_TOTNETGROSS,241,1)="",INDEX(OHZ_HAZ_TOTUNIT,241,1)="",),FALSE,TRUE),TRUE)</f>
        <v>1</v>
      </c>
      <c r="K498" s="52" t="str">
        <f t="shared" si="16"/>
        <v xml:space="preserve">Row 241 - If ‘Total amount’ is given, then ‘Net / Gross’ and ‘Total amount unit’ are required </v>
      </c>
      <c r="L498" s="236" t="s">
        <v>1853</v>
      </c>
    </row>
    <row r="499" spans="7:12">
      <c r="G499" s="250" t="b">
        <f>IF(OR(INDEX(IHZ_HAZ_TOTAMOUNT,242,1)&lt;&gt;"",),IF(OR(INDEX(IHZ_HAZ_TOTNETGROSS,242,1)="",INDEX(IHZ_HAZ_TOTUNIT,242,1)="",),FALSE,TRUE),TRUE)</f>
        <v>1</v>
      </c>
      <c r="H499" s="52" t="str">
        <f t="shared" si="15"/>
        <v xml:space="preserve">Row 242 - If ‘Total amount’ is given, then ‘Net / Gross’ and ‘Total amount unit’ are required </v>
      </c>
      <c r="I499" s="236" t="s">
        <v>1853</v>
      </c>
      <c r="J499" s="52" t="b">
        <f>IF(OR(INDEX(OHZ_HAZ_TOTAMOUNT,242,1)&lt;&gt;"",),IF(OR(INDEX(OHZ_HAZ_TOTNETGROSS,242,1)="",INDEX(OHZ_HAZ_TOTUNIT,242,1)="",),FALSE,TRUE),TRUE)</f>
        <v>1</v>
      </c>
      <c r="K499" s="52" t="str">
        <f t="shared" si="16"/>
        <v xml:space="preserve">Row 242 - If ‘Total amount’ is given, then ‘Net / Gross’ and ‘Total amount unit’ are required </v>
      </c>
      <c r="L499" s="236" t="s">
        <v>1853</v>
      </c>
    </row>
    <row r="500" spans="7:12">
      <c r="G500" s="250" t="b">
        <f>IF(OR(INDEX(IHZ_HAZ_TOTAMOUNT,243,1)&lt;&gt;"",),IF(OR(INDEX(IHZ_HAZ_TOTNETGROSS,243,1)="",INDEX(IHZ_HAZ_TOTUNIT,243,1)="",),FALSE,TRUE),TRUE)</f>
        <v>1</v>
      </c>
      <c r="H500" s="52" t="str">
        <f t="shared" si="15"/>
        <v xml:space="preserve">Row 243 - If ‘Total amount’ is given, then ‘Net / Gross’ and ‘Total amount unit’ are required </v>
      </c>
      <c r="I500" s="236" t="s">
        <v>1853</v>
      </c>
      <c r="J500" s="52" t="b">
        <f>IF(OR(INDEX(OHZ_HAZ_TOTAMOUNT,243,1)&lt;&gt;"",),IF(OR(INDEX(OHZ_HAZ_TOTNETGROSS,243,1)="",INDEX(OHZ_HAZ_TOTUNIT,243,1)="",),FALSE,TRUE),TRUE)</f>
        <v>1</v>
      </c>
      <c r="K500" s="52" t="str">
        <f t="shared" si="16"/>
        <v xml:space="preserve">Row 243 - If ‘Total amount’ is given, then ‘Net / Gross’ and ‘Total amount unit’ are required </v>
      </c>
      <c r="L500" s="236" t="s">
        <v>1853</v>
      </c>
    </row>
    <row r="501" spans="7:12">
      <c r="G501" s="250" t="b">
        <f>IF(OR(INDEX(IHZ_HAZ_TOTAMOUNT,244,1)&lt;&gt;"",),IF(OR(INDEX(IHZ_HAZ_TOTNETGROSS,244,1)="",INDEX(IHZ_HAZ_TOTUNIT,244,1)="",),FALSE,TRUE),TRUE)</f>
        <v>1</v>
      </c>
      <c r="H501" s="52" t="str">
        <f t="shared" si="15"/>
        <v xml:space="preserve">Row 244 - If ‘Total amount’ is given, then ‘Net / Gross’ and ‘Total amount unit’ are required </v>
      </c>
      <c r="I501" s="236" t="s">
        <v>1853</v>
      </c>
      <c r="J501" s="52" t="b">
        <f>IF(OR(INDEX(OHZ_HAZ_TOTAMOUNT,244,1)&lt;&gt;"",),IF(OR(INDEX(OHZ_HAZ_TOTNETGROSS,244,1)="",INDEX(OHZ_HAZ_TOTUNIT,244,1)="",),FALSE,TRUE),TRUE)</f>
        <v>1</v>
      </c>
      <c r="K501" s="52" t="str">
        <f t="shared" si="16"/>
        <v xml:space="preserve">Row 244 - If ‘Total amount’ is given, then ‘Net / Gross’ and ‘Total amount unit’ are required </v>
      </c>
      <c r="L501" s="236" t="s">
        <v>1853</v>
      </c>
    </row>
    <row r="502" spans="7:12">
      <c r="G502" s="250" t="b">
        <f>IF(OR(INDEX(IHZ_HAZ_TOTAMOUNT,245,1)&lt;&gt;"",),IF(OR(INDEX(IHZ_HAZ_TOTNETGROSS,245,1)="",INDEX(IHZ_HAZ_TOTUNIT,245,1)="",),FALSE,TRUE),TRUE)</f>
        <v>1</v>
      </c>
      <c r="H502" s="52" t="str">
        <f t="shared" si="15"/>
        <v xml:space="preserve">Row 245 - If ‘Total amount’ is given, then ‘Net / Gross’ and ‘Total amount unit’ are required </v>
      </c>
      <c r="I502" s="236" t="s">
        <v>1853</v>
      </c>
      <c r="J502" s="52" t="b">
        <f>IF(OR(INDEX(OHZ_HAZ_TOTAMOUNT,245,1)&lt;&gt;"",),IF(OR(INDEX(OHZ_HAZ_TOTNETGROSS,245,1)="",INDEX(OHZ_HAZ_TOTUNIT,245,1)="",),FALSE,TRUE),TRUE)</f>
        <v>1</v>
      </c>
      <c r="K502" s="52" t="str">
        <f t="shared" si="16"/>
        <v xml:space="preserve">Row 245 - If ‘Total amount’ is given, then ‘Net / Gross’ and ‘Total amount unit’ are required </v>
      </c>
      <c r="L502" s="236" t="s">
        <v>1853</v>
      </c>
    </row>
    <row r="503" spans="7:12">
      <c r="G503" s="250" t="b">
        <f>IF(OR(INDEX(IHZ_HAZ_TOTAMOUNT,246,1)&lt;&gt;"",),IF(OR(INDEX(IHZ_HAZ_TOTNETGROSS,246,1)="",INDEX(IHZ_HAZ_TOTUNIT,246,1)="",),FALSE,TRUE),TRUE)</f>
        <v>1</v>
      </c>
      <c r="H503" s="52" t="str">
        <f t="shared" si="15"/>
        <v xml:space="preserve">Row 246 - If ‘Total amount’ is given, then ‘Net / Gross’ and ‘Total amount unit’ are required </v>
      </c>
      <c r="I503" s="236" t="s">
        <v>1853</v>
      </c>
      <c r="J503" s="52" t="b">
        <f>IF(OR(INDEX(OHZ_HAZ_TOTAMOUNT,246,1)&lt;&gt;"",),IF(OR(INDEX(OHZ_HAZ_TOTNETGROSS,246,1)="",INDEX(OHZ_HAZ_TOTUNIT,246,1)="",),FALSE,TRUE),TRUE)</f>
        <v>1</v>
      </c>
      <c r="K503" s="52" t="str">
        <f t="shared" si="16"/>
        <v xml:space="preserve">Row 246 - If ‘Total amount’ is given, then ‘Net / Gross’ and ‘Total amount unit’ are required </v>
      </c>
      <c r="L503" s="236" t="s">
        <v>1853</v>
      </c>
    </row>
    <row r="504" spans="7:12">
      <c r="G504" s="250" t="b">
        <f>IF(OR(INDEX(IHZ_HAZ_TOTAMOUNT,247,1)&lt;&gt;"",),IF(OR(INDEX(IHZ_HAZ_TOTNETGROSS,247,1)="",INDEX(IHZ_HAZ_TOTUNIT,247,1)="",),FALSE,TRUE),TRUE)</f>
        <v>1</v>
      </c>
      <c r="H504" s="52" t="str">
        <f t="shared" si="15"/>
        <v xml:space="preserve">Row 247 - If ‘Total amount’ is given, then ‘Net / Gross’ and ‘Total amount unit’ are required </v>
      </c>
      <c r="I504" s="236" t="s">
        <v>1853</v>
      </c>
      <c r="J504" s="52" t="b">
        <f>IF(OR(INDEX(OHZ_HAZ_TOTAMOUNT,247,1)&lt;&gt;"",),IF(OR(INDEX(OHZ_HAZ_TOTNETGROSS,247,1)="",INDEX(OHZ_HAZ_TOTUNIT,247,1)="",),FALSE,TRUE),TRUE)</f>
        <v>1</v>
      </c>
      <c r="K504" s="52" t="str">
        <f t="shared" si="16"/>
        <v xml:space="preserve">Row 247 - If ‘Total amount’ is given, then ‘Net / Gross’ and ‘Total amount unit’ are required </v>
      </c>
      <c r="L504" s="236" t="s">
        <v>1853</v>
      </c>
    </row>
    <row r="505" spans="7:12">
      <c r="G505" s="250" t="b">
        <f>IF(OR(INDEX(IHZ_HAZ_TOTAMOUNT,248,1)&lt;&gt;"",),IF(OR(INDEX(IHZ_HAZ_TOTNETGROSS,248,1)="",INDEX(IHZ_HAZ_TOTUNIT,248,1)="",),FALSE,TRUE),TRUE)</f>
        <v>1</v>
      </c>
      <c r="H505" s="52" t="str">
        <f t="shared" si="15"/>
        <v xml:space="preserve">Row 248 - If ‘Total amount’ is given, then ‘Net / Gross’ and ‘Total amount unit’ are required </v>
      </c>
      <c r="I505" s="236" t="s">
        <v>1853</v>
      </c>
      <c r="J505" s="52" t="b">
        <f>IF(OR(INDEX(OHZ_HAZ_TOTAMOUNT,248,1)&lt;&gt;"",),IF(OR(INDEX(OHZ_HAZ_TOTNETGROSS,248,1)="",INDEX(OHZ_HAZ_TOTUNIT,248,1)="",),FALSE,TRUE),TRUE)</f>
        <v>1</v>
      </c>
      <c r="K505" s="52" t="str">
        <f t="shared" si="16"/>
        <v xml:space="preserve">Row 248 - If ‘Total amount’ is given, then ‘Net / Gross’ and ‘Total amount unit’ are required </v>
      </c>
      <c r="L505" s="236" t="s">
        <v>1853</v>
      </c>
    </row>
    <row r="506" spans="7:12">
      <c r="G506" s="250" t="b">
        <f>IF(OR(INDEX(IHZ_HAZ_TOTAMOUNT,249,1)&lt;&gt;"",),IF(OR(INDEX(IHZ_HAZ_TOTNETGROSS,249,1)="",INDEX(IHZ_HAZ_TOTUNIT,249,1)="",),FALSE,TRUE),TRUE)</f>
        <v>1</v>
      </c>
      <c r="H506" s="52" t="str">
        <f t="shared" si="15"/>
        <v xml:space="preserve">Row 249 - If ‘Total amount’ is given, then ‘Net / Gross’ and ‘Total amount unit’ are required </v>
      </c>
      <c r="I506" s="236" t="s">
        <v>1853</v>
      </c>
      <c r="J506" s="52" t="b">
        <f>IF(OR(INDEX(OHZ_HAZ_TOTAMOUNT,249,1)&lt;&gt;"",),IF(OR(INDEX(OHZ_HAZ_TOTNETGROSS,249,1)="",INDEX(OHZ_HAZ_TOTUNIT,249,1)="",),FALSE,TRUE),TRUE)</f>
        <v>1</v>
      </c>
      <c r="K506" s="52" t="str">
        <f t="shared" si="16"/>
        <v xml:space="preserve">Row 249 - If ‘Total amount’ is given, then ‘Net / Gross’ and ‘Total amount unit’ are required </v>
      </c>
      <c r="L506" s="236" t="s">
        <v>1853</v>
      </c>
    </row>
    <row r="507" spans="7:12">
      <c r="G507" s="250" t="b">
        <f>IF(OR(INDEX(IHZ_HAZ_TOTAMOUNT,250,1)&lt;&gt;"",),IF(OR(INDEX(IHZ_HAZ_TOTNETGROSS,250,1)="",INDEX(IHZ_HAZ_TOTUNIT,250,1)="",),FALSE,TRUE),TRUE)</f>
        <v>1</v>
      </c>
      <c r="H507" s="52" t="str">
        <f t="shared" si="15"/>
        <v xml:space="preserve">Row 250 - If ‘Total amount’ is given, then ‘Net / Gross’ and ‘Total amount unit’ are required </v>
      </c>
      <c r="I507" s="236" t="s">
        <v>1853</v>
      </c>
      <c r="J507" s="52" t="b">
        <f>IF(OR(INDEX(OHZ_HAZ_TOTAMOUNT,250,1)&lt;&gt;"",),IF(OR(INDEX(OHZ_HAZ_TOTNETGROSS,250,1)="",INDEX(OHZ_HAZ_TOTUNIT,250,1)="",),FALSE,TRUE),TRUE)</f>
        <v>1</v>
      </c>
      <c r="K507" s="52" t="str">
        <f t="shared" si="16"/>
        <v xml:space="preserve">Row 250 - If ‘Total amount’ is given, then ‘Net / Gross’ and ‘Total amount unit’ are required </v>
      </c>
      <c r="L507" s="236" t="s">
        <v>1853</v>
      </c>
    </row>
    <row r="508" spans="7:12">
      <c r="G508" s="250" t="b">
        <f>IF(OR(INDEX(IHZ_HAZ_UNITTYPE,1,1)="TEU",),INDEX(IHZ_HAZ_TEUID,1,1)&lt;&gt;"",TRUE)</f>
        <v>1</v>
      </c>
      <c r="H508" s="52" t="str">
        <f>T1&amp;$V$3</f>
        <v>Row 1 - If ‘TEU type’ is ‘TEU’ then ‘TEU Id’ is required</v>
      </c>
      <c r="I508" s="236" t="s">
        <v>1853</v>
      </c>
      <c r="J508" s="52" t="b">
        <f>IF(OR(INDEX(OHZ_HAZ_UNITTYPE,1,1)="TEU",),INDEX(OHZ_HAZ_TEUID,1,1)&lt;&gt;"",TRUE)</f>
        <v>1</v>
      </c>
      <c r="K508" s="52" t="str">
        <f>T1&amp;$V$3</f>
        <v>Row 1 - If ‘TEU type’ is ‘TEU’ then ‘TEU Id’ is required</v>
      </c>
      <c r="L508" s="236" t="s">
        <v>1853</v>
      </c>
    </row>
    <row r="509" spans="7:12">
      <c r="G509" s="250" t="b">
        <f>IF(OR(INDEX(IHZ_HAZ_UNITTYPE,2,1)="TEU",),INDEX(IHZ_HAZ_TEUID,2,1)&lt;&gt;"",TRUE)</f>
        <v>1</v>
      </c>
      <c r="H509" s="52" t="str">
        <f t="shared" ref="H509:H572" si="17">T2&amp;$V$3</f>
        <v>Row 2 - If ‘TEU type’ is ‘TEU’ then ‘TEU Id’ is required</v>
      </c>
      <c r="I509" s="236" t="s">
        <v>1853</v>
      </c>
      <c r="J509" s="52" t="b">
        <f>IF(OR(INDEX(OHZ_HAZ_UNITTYPE,2,1)="TEU",),INDEX(OHZ_HAZ_TEUID,2,1)&lt;&gt;"",TRUE)</f>
        <v>1</v>
      </c>
      <c r="K509" s="52" t="str">
        <f t="shared" ref="K509:K572" si="18">T2&amp;$V$3</f>
        <v>Row 2 - If ‘TEU type’ is ‘TEU’ then ‘TEU Id’ is required</v>
      </c>
      <c r="L509" s="236" t="s">
        <v>1853</v>
      </c>
    </row>
    <row r="510" spans="7:12">
      <c r="G510" s="250" t="b">
        <f>IF(OR(INDEX(IHZ_HAZ_UNITTYPE,3,1)="TEU",),INDEX(IHZ_HAZ_TEUID,3,1)&lt;&gt;"",TRUE)</f>
        <v>1</v>
      </c>
      <c r="H510" s="52" t="str">
        <f t="shared" si="17"/>
        <v>Row 3 - If ‘TEU type’ is ‘TEU’ then ‘TEU Id’ is required</v>
      </c>
      <c r="I510" s="236" t="s">
        <v>1853</v>
      </c>
      <c r="J510" s="52" t="b">
        <f>IF(OR(INDEX(OHZ_HAZ_UNITTYPE,3,1)="TEU",),INDEX(OHZ_HAZ_TEUID,3,1)&lt;&gt;"",TRUE)</f>
        <v>1</v>
      </c>
      <c r="K510" s="52" t="str">
        <f t="shared" si="18"/>
        <v>Row 3 - If ‘TEU type’ is ‘TEU’ then ‘TEU Id’ is required</v>
      </c>
      <c r="L510" s="236" t="s">
        <v>1853</v>
      </c>
    </row>
    <row r="511" spans="7:12">
      <c r="G511" s="250" t="b">
        <f>IF(OR(INDEX(IHZ_HAZ_UNITTYPE,4,1)="TEU",),INDEX(IHZ_HAZ_TEUID,4,1)&lt;&gt;"",TRUE)</f>
        <v>1</v>
      </c>
      <c r="H511" s="52" t="str">
        <f t="shared" si="17"/>
        <v>Row 4 - If ‘TEU type’ is ‘TEU’ then ‘TEU Id’ is required</v>
      </c>
      <c r="I511" s="236" t="s">
        <v>1853</v>
      </c>
      <c r="J511" s="52" t="b">
        <f>IF(OR(INDEX(OHZ_HAZ_UNITTYPE,4,1)="TEU",),INDEX(OHZ_HAZ_TEUID,4,1)&lt;&gt;"",TRUE)</f>
        <v>1</v>
      </c>
      <c r="K511" s="52" t="str">
        <f t="shared" si="18"/>
        <v>Row 4 - If ‘TEU type’ is ‘TEU’ then ‘TEU Id’ is required</v>
      </c>
      <c r="L511" s="236" t="s">
        <v>1853</v>
      </c>
    </row>
    <row r="512" spans="7:12">
      <c r="G512" s="250" t="b">
        <f>IF(OR(INDEX(IHZ_HAZ_UNITTYPE,5,1)="TEU",),INDEX(IHZ_HAZ_TEUID,5,1)&lt;&gt;"",TRUE)</f>
        <v>1</v>
      </c>
      <c r="H512" s="52" t="str">
        <f t="shared" si="17"/>
        <v>Row 5 - If ‘TEU type’ is ‘TEU’ then ‘TEU Id’ is required</v>
      </c>
      <c r="I512" s="236" t="s">
        <v>1853</v>
      </c>
      <c r="J512" s="52" t="b">
        <f>IF(OR(INDEX(OHZ_HAZ_UNITTYPE,5,1)="TEU",),INDEX(OHZ_HAZ_TEUID,5,1)&lt;&gt;"",TRUE)</f>
        <v>1</v>
      </c>
      <c r="K512" s="52" t="str">
        <f t="shared" si="18"/>
        <v>Row 5 - If ‘TEU type’ is ‘TEU’ then ‘TEU Id’ is required</v>
      </c>
      <c r="L512" s="236" t="s">
        <v>1853</v>
      </c>
    </row>
    <row r="513" spans="7:12">
      <c r="G513" s="250" t="b">
        <f>IF(OR(INDEX(IHZ_HAZ_UNITTYPE,6,1)="TEU",),INDEX(IHZ_HAZ_TEUID,6,1)&lt;&gt;"",TRUE)</f>
        <v>1</v>
      </c>
      <c r="H513" s="52" t="str">
        <f t="shared" si="17"/>
        <v>Row 6 - If ‘TEU type’ is ‘TEU’ then ‘TEU Id’ is required</v>
      </c>
      <c r="I513" s="236" t="s">
        <v>1853</v>
      </c>
      <c r="J513" s="52" t="b">
        <f>IF(OR(INDEX(OHZ_HAZ_UNITTYPE,6,1)="TEU",),INDEX(OHZ_HAZ_TEUID,6,1)&lt;&gt;"",TRUE)</f>
        <v>1</v>
      </c>
      <c r="K513" s="52" t="str">
        <f t="shared" si="18"/>
        <v>Row 6 - If ‘TEU type’ is ‘TEU’ then ‘TEU Id’ is required</v>
      </c>
      <c r="L513" s="236" t="s">
        <v>1853</v>
      </c>
    </row>
    <row r="514" spans="7:12">
      <c r="G514" s="250" t="b">
        <f>IF(OR(INDEX(IHZ_HAZ_UNITTYPE,7,1)="TEU",),INDEX(IHZ_HAZ_TEUID,7,1)&lt;&gt;"",TRUE)</f>
        <v>1</v>
      </c>
      <c r="H514" s="52" t="str">
        <f t="shared" si="17"/>
        <v>Row 7 - If ‘TEU type’ is ‘TEU’ then ‘TEU Id’ is required</v>
      </c>
      <c r="I514" s="236" t="s">
        <v>1853</v>
      </c>
      <c r="J514" s="52" t="b">
        <f>IF(OR(INDEX(OHZ_HAZ_UNITTYPE,7,1)="TEU",),INDEX(OHZ_HAZ_TEUID,7,1)&lt;&gt;"",TRUE)</f>
        <v>1</v>
      </c>
      <c r="K514" s="52" t="str">
        <f t="shared" si="18"/>
        <v>Row 7 - If ‘TEU type’ is ‘TEU’ then ‘TEU Id’ is required</v>
      </c>
      <c r="L514" s="236" t="s">
        <v>1853</v>
      </c>
    </row>
    <row r="515" spans="7:12">
      <c r="G515" s="250" t="b">
        <f>IF(OR(INDEX(IHZ_HAZ_UNITTYPE,8,1)="TEU",),INDEX(IHZ_HAZ_TEUID,8,1)&lt;&gt;"",TRUE)</f>
        <v>1</v>
      </c>
      <c r="H515" s="52" t="str">
        <f t="shared" si="17"/>
        <v>Row 8 - If ‘TEU type’ is ‘TEU’ then ‘TEU Id’ is required</v>
      </c>
      <c r="I515" s="236" t="s">
        <v>1853</v>
      </c>
      <c r="J515" s="52" t="b">
        <f>IF(OR(INDEX(OHZ_HAZ_UNITTYPE,8,1)="TEU",),INDEX(OHZ_HAZ_TEUID,8,1)&lt;&gt;"",TRUE)</f>
        <v>1</v>
      </c>
      <c r="K515" s="52" t="str">
        <f t="shared" si="18"/>
        <v>Row 8 - If ‘TEU type’ is ‘TEU’ then ‘TEU Id’ is required</v>
      </c>
      <c r="L515" s="236" t="s">
        <v>1853</v>
      </c>
    </row>
    <row r="516" spans="7:12">
      <c r="G516" s="250" t="b">
        <f>IF(OR(INDEX(IHZ_HAZ_UNITTYPE,9,1)="TEU",),INDEX(IHZ_HAZ_TEUID,9,1)&lt;&gt;"",TRUE)</f>
        <v>1</v>
      </c>
      <c r="H516" s="52" t="str">
        <f t="shared" si="17"/>
        <v>Row 9 - If ‘TEU type’ is ‘TEU’ then ‘TEU Id’ is required</v>
      </c>
      <c r="I516" s="236" t="s">
        <v>1853</v>
      </c>
      <c r="J516" s="52" t="b">
        <f>IF(OR(INDEX(OHZ_HAZ_UNITTYPE,9,1)="TEU",),INDEX(OHZ_HAZ_TEUID,9,1)&lt;&gt;"",TRUE)</f>
        <v>1</v>
      </c>
      <c r="K516" s="52" t="str">
        <f t="shared" si="18"/>
        <v>Row 9 - If ‘TEU type’ is ‘TEU’ then ‘TEU Id’ is required</v>
      </c>
      <c r="L516" s="236" t="s">
        <v>1853</v>
      </c>
    </row>
    <row r="517" spans="7:12">
      <c r="G517" s="250" t="b">
        <f>IF(OR(INDEX(IHZ_HAZ_UNITTYPE,10,1)="TEU",),INDEX(IHZ_HAZ_TEUID,10,1)&lt;&gt;"",TRUE)</f>
        <v>1</v>
      </c>
      <c r="H517" s="52" t="str">
        <f t="shared" si="17"/>
        <v>Row 10 - If ‘TEU type’ is ‘TEU’ then ‘TEU Id’ is required</v>
      </c>
      <c r="I517" s="236" t="s">
        <v>1853</v>
      </c>
      <c r="J517" s="52" t="b">
        <f>IF(OR(INDEX(OHZ_HAZ_UNITTYPE,10,1)="TEU",),INDEX(OHZ_HAZ_TEUID,10,1)&lt;&gt;"",TRUE)</f>
        <v>1</v>
      </c>
      <c r="K517" s="52" t="str">
        <f t="shared" si="18"/>
        <v>Row 10 - If ‘TEU type’ is ‘TEU’ then ‘TEU Id’ is required</v>
      </c>
      <c r="L517" s="236" t="s">
        <v>1853</v>
      </c>
    </row>
    <row r="518" spans="7:12">
      <c r="G518" s="250" t="b">
        <f>IF(OR(INDEX(IHZ_HAZ_UNITTYPE,11,1)="TEU",),INDEX(IHZ_HAZ_TEUID,11,1)&lt;&gt;"",TRUE)</f>
        <v>1</v>
      </c>
      <c r="H518" s="52" t="str">
        <f t="shared" si="17"/>
        <v>Row 11 - If ‘TEU type’ is ‘TEU’ then ‘TEU Id’ is required</v>
      </c>
      <c r="I518" s="236" t="s">
        <v>1853</v>
      </c>
      <c r="J518" s="52" t="b">
        <f>IF(OR(INDEX(OHZ_HAZ_UNITTYPE,11,1)="TEU",),INDEX(OHZ_HAZ_TEUID,11,1)&lt;&gt;"",TRUE)</f>
        <v>1</v>
      </c>
      <c r="K518" s="52" t="str">
        <f t="shared" si="18"/>
        <v>Row 11 - If ‘TEU type’ is ‘TEU’ then ‘TEU Id’ is required</v>
      </c>
      <c r="L518" s="236" t="s">
        <v>1853</v>
      </c>
    </row>
    <row r="519" spans="7:12">
      <c r="G519" s="250" t="b">
        <f>IF(OR(INDEX(IHZ_HAZ_UNITTYPE,12,1)="TEU",),INDEX(IHZ_HAZ_TEUID,12,1)&lt;&gt;"",TRUE)</f>
        <v>1</v>
      </c>
      <c r="H519" s="52" t="str">
        <f t="shared" si="17"/>
        <v>Row 12 - If ‘TEU type’ is ‘TEU’ then ‘TEU Id’ is required</v>
      </c>
      <c r="I519" s="236" t="s">
        <v>1853</v>
      </c>
      <c r="J519" s="52" t="b">
        <f>IF(OR(INDEX(OHZ_HAZ_UNITTYPE,12,1)="TEU",),INDEX(OHZ_HAZ_TEUID,12,1)&lt;&gt;"",TRUE)</f>
        <v>1</v>
      </c>
      <c r="K519" s="52" t="str">
        <f t="shared" si="18"/>
        <v>Row 12 - If ‘TEU type’ is ‘TEU’ then ‘TEU Id’ is required</v>
      </c>
      <c r="L519" s="236" t="s">
        <v>1853</v>
      </c>
    </row>
    <row r="520" spans="7:12">
      <c r="G520" s="250" t="b">
        <f>IF(OR(INDEX(IHZ_HAZ_UNITTYPE,13,1)="TEU",),INDEX(IHZ_HAZ_TEUID,13,1)&lt;&gt;"",TRUE)</f>
        <v>1</v>
      </c>
      <c r="H520" s="52" t="str">
        <f t="shared" si="17"/>
        <v>Row 13 - If ‘TEU type’ is ‘TEU’ then ‘TEU Id’ is required</v>
      </c>
      <c r="I520" s="236" t="s">
        <v>1853</v>
      </c>
      <c r="J520" s="52" t="b">
        <f>IF(OR(INDEX(OHZ_HAZ_UNITTYPE,13,1)="TEU",),INDEX(OHZ_HAZ_TEUID,13,1)&lt;&gt;"",TRUE)</f>
        <v>1</v>
      </c>
      <c r="K520" s="52" t="str">
        <f t="shared" si="18"/>
        <v>Row 13 - If ‘TEU type’ is ‘TEU’ then ‘TEU Id’ is required</v>
      </c>
      <c r="L520" s="236" t="s">
        <v>1853</v>
      </c>
    </row>
    <row r="521" spans="7:12">
      <c r="G521" s="250" t="b">
        <f>IF(OR(INDEX(IHZ_HAZ_UNITTYPE,14,1)="TEU",),INDEX(IHZ_HAZ_TEUID,14,1)&lt;&gt;"",TRUE)</f>
        <v>1</v>
      </c>
      <c r="H521" s="52" t="str">
        <f t="shared" si="17"/>
        <v>Row 14 - If ‘TEU type’ is ‘TEU’ then ‘TEU Id’ is required</v>
      </c>
      <c r="I521" s="236" t="s">
        <v>1853</v>
      </c>
      <c r="J521" s="52" t="b">
        <f>IF(OR(INDEX(OHZ_HAZ_UNITTYPE,14,1)="TEU",),INDEX(OHZ_HAZ_TEUID,14,1)&lt;&gt;"",TRUE)</f>
        <v>1</v>
      </c>
      <c r="K521" s="52" t="str">
        <f t="shared" si="18"/>
        <v>Row 14 - If ‘TEU type’ is ‘TEU’ then ‘TEU Id’ is required</v>
      </c>
      <c r="L521" s="236" t="s">
        <v>1853</v>
      </c>
    </row>
    <row r="522" spans="7:12">
      <c r="G522" s="250" t="b">
        <f>IF(OR(INDEX(IHZ_HAZ_UNITTYPE,15,1)="TEU",),INDEX(IHZ_HAZ_TEUID,15,1)&lt;&gt;"",TRUE)</f>
        <v>1</v>
      </c>
      <c r="H522" s="52" t="str">
        <f t="shared" si="17"/>
        <v>Row 15 - If ‘TEU type’ is ‘TEU’ then ‘TEU Id’ is required</v>
      </c>
      <c r="I522" s="236" t="s">
        <v>1853</v>
      </c>
      <c r="J522" s="52" t="b">
        <f>IF(OR(INDEX(OHZ_HAZ_UNITTYPE,15,1)="TEU",),INDEX(OHZ_HAZ_TEUID,15,1)&lt;&gt;"",TRUE)</f>
        <v>1</v>
      </c>
      <c r="K522" s="52" t="str">
        <f t="shared" si="18"/>
        <v>Row 15 - If ‘TEU type’ is ‘TEU’ then ‘TEU Id’ is required</v>
      </c>
      <c r="L522" s="236" t="s">
        <v>1853</v>
      </c>
    </row>
    <row r="523" spans="7:12">
      <c r="G523" s="250" t="b">
        <f>IF(OR(INDEX(IHZ_HAZ_UNITTYPE,16,1)="TEU",),INDEX(IHZ_HAZ_TEUID,16,1)&lt;&gt;"",TRUE)</f>
        <v>1</v>
      </c>
      <c r="H523" s="52" t="str">
        <f t="shared" si="17"/>
        <v>Row 16 - If ‘TEU type’ is ‘TEU’ then ‘TEU Id’ is required</v>
      </c>
      <c r="I523" s="236" t="s">
        <v>1853</v>
      </c>
      <c r="J523" s="52" t="b">
        <f>IF(OR(INDEX(OHZ_HAZ_UNITTYPE,16,1)="TEU",),INDEX(OHZ_HAZ_TEUID,16,1)&lt;&gt;"",TRUE)</f>
        <v>1</v>
      </c>
      <c r="K523" s="52" t="str">
        <f t="shared" si="18"/>
        <v>Row 16 - If ‘TEU type’ is ‘TEU’ then ‘TEU Id’ is required</v>
      </c>
      <c r="L523" s="236" t="s">
        <v>1853</v>
      </c>
    </row>
    <row r="524" spans="7:12">
      <c r="G524" s="250" t="b">
        <f>IF(OR(INDEX(IHZ_HAZ_UNITTYPE,17,1)="TEU",),INDEX(IHZ_HAZ_TEUID,17,1)&lt;&gt;"",TRUE)</f>
        <v>1</v>
      </c>
      <c r="H524" s="52" t="str">
        <f t="shared" si="17"/>
        <v>Row 17 - If ‘TEU type’ is ‘TEU’ then ‘TEU Id’ is required</v>
      </c>
      <c r="I524" s="236" t="s">
        <v>1853</v>
      </c>
      <c r="J524" s="52" t="b">
        <f>IF(OR(INDEX(OHZ_HAZ_UNITTYPE,17,1)="TEU",),INDEX(OHZ_HAZ_TEUID,17,1)&lt;&gt;"",TRUE)</f>
        <v>1</v>
      </c>
      <c r="K524" s="52" t="str">
        <f t="shared" si="18"/>
        <v>Row 17 - If ‘TEU type’ is ‘TEU’ then ‘TEU Id’ is required</v>
      </c>
      <c r="L524" s="236" t="s">
        <v>1853</v>
      </c>
    </row>
    <row r="525" spans="7:12">
      <c r="G525" s="250" t="b">
        <f>IF(OR(INDEX(IHZ_HAZ_UNITTYPE,18,1)="TEU",),INDEX(IHZ_HAZ_TEUID,18,1)&lt;&gt;"",TRUE)</f>
        <v>1</v>
      </c>
      <c r="H525" s="52" t="str">
        <f t="shared" si="17"/>
        <v>Row 18 - If ‘TEU type’ is ‘TEU’ then ‘TEU Id’ is required</v>
      </c>
      <c r="I525" s="236" t="s">
        <v>1853</v>
      </c>
      <c r="J525" s="52" t="b">
        <f>IF(OR(INDEX(OHZ_HAZ_UNITTYPE,18,1)="TEU",),INDEX(OHZ_HAZ_TEUID,18,1)&lt;&gt;"",TRUE)</f>
        <v>1</v>
      </c>
      <c r="K525" s="52" t="str">
        <f t="shared" si="18"/>
        <v>Row 18 - If ‘TEU type’ is ‘TEU’ then ‘TEU Id’ is required</v>
      </c>
      <c r="L525" s="236" t="s">
        <v>1853</v>
      </c>
    </row>
    <row r="526" spans="7:12">
      <c r="G526" s="250" t="b">
        <f>IF(OR(INDEX(IHZ_HAZ_UNITTYPE,19,1)="TEU",),INDEX(IHZ_HAZ_TEUID,19,1)&lt;&gt;"",TRUE)</f>
        <v>1</v>
      </c>
      <c r="H526" s="52" t="str">
        <f t="shared" si="17"/>
        <v>Row 19 - If ‘TEU type’ is ‘TEU’ then ‘TEU Id’ is required</v>
      </c>
      <c r="I526" s="236" t="s">
        <v>1853</v>
      </c>
      <c r="J526" s="52" t="b">
        <f>IF(OR(INDEX(OHZ_HAZ_UNITTYPE,19,1)="TEU",),INDEX(OHZ_HAZ_TEUID,19,1)&lt;&gt;"",TRUE)</f>
        <v>1</v>
      </c>
      <c r="K526" s="52" t="str">
        <f t="shared" si="18"/>
        <v>Row 19 - If ‘TEU type’ is ‘TEU’ then ‘TEU Id’ is required</v>
      </c>
      <c r="L526" s="236" t="s">
        <v>1853</v>
      </c>
    </row>
    <row r="527" spans="7:12">
      <c r="G527" s="250" t="b">
        <f>IF(OR(INDEX(IHZ_HAZ_UNITTYPE,20,1)="TEU",),INDEX(IHZ_HAZ_TEUID,20,1)&lt;&gt;"",TRUE)</f>
        <v>1</v>
      </c>
      <c r="H527" s="52" t="str">
        <f t="shared" si="17"/>
        <v>Row 20 - If ‘TEU type’ is ‘TEU’ then ‘TEU Id’ is required</v>
      </c>
      <c r="I527" s="236" t="s">
        <v>1853</v>
      </c>
      <c r="J527" s="52" t="b">
        <f>IF(OR(INDEX(OHZ_HAZ_UNITTYPE,20,1)="TEU",),INDEX(OHZ_HAZ_TEUID,20,1)&lt;&gt;"",TRUE)</f>
        <v>1</v>
      </c>
      <c r="K527" s="52" t="str">
        <f t="shared" si="18"/>
        <v>Row 20 - If ‘TEU type’ is ‘TEU’ then ‘TEU Id’ is required</v>
      </c>
      <c r="L527" s="236" t="s">
        <v>1853</v>
      </c>
    </row>
    <row r="528" spans="7:12">
      <c r="G528" s="250" t="b">
        <f>IF(OR(INDEX(IHZ_HAZ_UNITTYPE,21,1)="TEU",),INDEX(IHZ_HAZ_TEUID,21,1)&lt;&gt;"",TRUE)</f>
        <v>1</v>
      </c>
      <c r="H528" s="52" t="str">
        <f t="shared" si="17"/>
        <v>Row 21 - If ‘TEU type’ is ‘TEU’ then ‘TEU Id’ is required</v>
      </c>
      <c r="I528" s="236" t="s">
        <v>1853</v>
      </c>
      <c r="J528" s="52" t="b">
        <f>IF(OR(INDEX(OHZ_HAZ_UNITTYPE,21,1)="TEU",),INDEX(OHZ_HAZ_TEUID,21,1)&lt;&gt;"",TRUE)</f>
        <v>1</v>
      </c>
      <c r="K528" s="52" t="str">
        <f t="shared" si="18"/>
        <v>Row 21 - If ‘TEU type’ is ‘TEU’ then ‘TEU Id’ is required</v>
      </c>
      <c r="L528" s="236" t="s">
        <v>1853</v>
      </c>
    </row>
    <row r="529" spans="7:12">
      <c r="G529" s="250" t="b">
        <f>IF(OR(INDEX(IHZ_HAZ_UNITTYPE,22,1)="TEU",),INDEX(IHZ_HAZ_TEUID,22,1)&lt;&gt;"",TRUE)</f>
        <v>1</v>
      </c>
      <c r="H529" s="52" t="str">
        <f t="shared" si="17"/>
        <v>Row 22 - If ‘TEU type’ is ‘TEU’ then ‘TEU Id’ is required</v>
      </c>
      <c r="I529" s="236" t="s">
        <v>1853</v>
      </c>
      <c r="J529" s="52" t="b">
        <f>IF(OR(INDEX(OHZ_HAZ_UNITTYPE,22,1)="TEU",),INDEX(OHZ_HAZ_TEUID,22,1)&lt;&gt;"",TRUE)</f>
        <v>1</v>
      </c>
      <c r="K529" s="52" t="str">
        <f t="shared" si="18"/>
        <v>Row 22 - If ‘TEU type’ is ‘TEU’ then ‘TEU Id’ is required</v>
      </c>
      <c r="L529" s="236" t="s">
        <v>1853</v>
      </c>
    </row>
    <row r="530" spans="7:12">
      <c r="G530" s="250" t="b">
        <f>IF(OR(INDEX(IHZ_HAZ_UNITTYPE,23,1)="TEU",),INDEX(IHZ_HAZ_TEUID,23,1)&lt;&gt;"",TRUE)</f>
        <v>1</v>
      </c>
      <c r="H530" s="52" t="str">
        <f t="shared" si="17"/>
        <v>Row 23 - If ‘TEU type’ is ‘TEU’ then ‘TEU Id’ is required</v>
      </c>
      <c r="I530" s="236" t="s">
        <v>1853</v>
      </c>
      <c r="J530" s="52" t="b">
        <f>IF(OR(INDEX(OHZ_HAZ_UNITTYPE,23,1)="TEU",),INDEX(OHZ_HAZ_TEUID,23,1)&lt;&gt;"",TRUE)</f>
        <v>1</v>
      </c>
      <c r="K530" s="52" t="str">
        <f t="shared" si="18"/>
        <v>Row 23 - If ‘TEU type’ is ‘TEU’ then ‘TEU Id’ is required</v>
      </c>
      <c r="L530" s="236" t="s">
        <v>1853</v>
      </c>
    </row>
    <row r="531" spans="7:12">
      <c r="G531" s="250" t="b">
        <f>IF(OR(INDEX(IHZ_HAZ_UNITTYPE,24,1)="TEU",),INDEX(IHZ_HAZ_TEUID,24,1)&lt;&gt;"",TRUE)</f>
        <v>1</v>
      </c>
      <c r="H531" s="52" t="str">
        <f t="shared" si="17"/>
        <v>Row 24 - If ‘TEU type’ is ‘TEU’ then ‘TEU Id’ is required</v>
      </c>
      <c r="I531" s="236" t="s">
        <v>1853</v>
      </c>
      <c r="J531" s="52" t="b">
        <f>IF(OR(INDEX(OHZ_HAZ_UNITTYPE,24,1)="TEU",),INDEX(OHZ_HAZ_TEUID,24,1)&lt;&gt;"",TRUE)</f>
        <v>1</v>
      </c>
      <c r="K531" s="52" t="str">
        <f t="shared" si="18"/>
        <v>Row 24 - If ‘TEU type’ is ‘TEU’ then ‘TEU Id’ is required</v>
      </c>
      <c r="L531" s="236" t="s">
        <v>1853</v>
      </c>
    </row>
    <row r="532" spans="7:12">
      <c r="G532" s="250" t="b">
        <f>IF(OR(INDEX(IHZ_HAZ_UNITTYPE,25,1)="TEU",),INDEX(IHZ_HAZ_TEUID,25,1)&lt;&gt;"",TRUE)</f>
        <v>1</v>
      </c>
      <c r="H532" s="52" t="str">
        <f t="shared" si="17"/>
        <v>Row 25 - If ‘TEU type’ is ‘TEU’ then ‘TEU Id’ is required</v>
      </c>
      <c r="I532" s="236" t="s">
        <v>1853</v>
      </c>
      <c r="J532" s="52" t="b">
        <f>IF(OR(INDEX(OHZ_HAZ_UNITTYPE,25,1)="TEU",),INDEX(OHZ_HAZ_TEUID,25,1)&lt;&gt;"",TRUE)</f>
        <v>1</v>
      </c>
      <c r="K532" s="52" t="str">
        <f t="shared" si="18"/>
        <v>Row 25 - If ‘TEU type’ is ‘TEU’ then ‘TEU Id’ is required</v>
      </c>
      <c r="L532" s="236" t="s">
        <v>1853</v>
      </c>
    </row>
    <row r="533" spans="7:12">
      <c r="G533" s="250" t="b">
        <f>IF(OR(INDEX(IHZ_HAZ_UNITTYPE,26,1)="TEU",),INDEX(IHZ_HAZ_TEUID,26,1)&lt;&gt;"",TRUE)</f>
        <v>1</v>
      </c>
      <c r="H533" s="52" t="str">
        <f t="shared" si="17"/>
        <v>Row 26 - If ‘TEU type’ is ‘TEU’ then ‘TEU Id’ is required</v>
      </c>
      <c r="I533" s="236" t="s">
        <v>1853</v>
      </c>
      <c r="J533" s="52" t="b">
        <f>IF(OR(INDEX(OHZ_HAZ_UNITTYPE,26,1)="TEU",),INDEX(OHZ_HAZ_TEUID,26,1)&lt;&gt;"",TRUE)</f>
        <v>1</v>
      </c>
      <c r="K533" s="52" t="str">
        <f t="shared" si="18"/>
        <v>Row 26 - If ‘TEU type’ is ‘TEU’ then ‘TEU Id’ is required</v>
      </c>
      <c r="L533" s="236" t="s">
        <v>1853</v>
      </c>
    </row>
    <row r="534" spans="7:12">
      <c r="G534" s="250" t="b">
        <f>IF(OR(INDEX(IHZ_HAZ_UNITTYPE,27,1)="TEU",),INDEX(IHZ_HAZ_TEUID,27,1)&lt;&gt;"",TRUE)</f>
        <v>1</v>
      </c>
      <c r="H534" s="52" t="str">
        <f t="shared" si="17"/>
        <v>Row 27 - If ‘TEU type’ is ‘TEU’ then ‘TEU Id’ is required</v>
      </c>
      <c r="I534" s="236" t="s">
        <v>1853</v>
      </c>
      <c r="J534" s="52" t="b">
        <f>IF(OR(INDEX(OHZ_HAZ_UNITTYPE,27,1)="TEU",),INDEX(OHZ_HAZ_TEUID,27,1)&lt;&gt;"",TRUE)</f>
        <v>1</v>
      </c>
      <c r="K534" s="52" t="str">
        <f t="shared" si="18"/>
        <v>Row 27 - If ‘TEU type’ is ‘TEU’ then ‘TEU Id’ is required</v>
      </c>
      <c r="L534" s="236" t="s">
        <v>1853</v>
      </c>
    </row>
    <row r="535" spans="7:12">
      <c r="G535" s="250" t="b">
        <f>IF(OR(INDEX(IHZ_HAZ_UNITTYPE,28,1)="TEU",),INDEX(IHZ_HAZ_TEUID,28,1)&lt;&gt;"",TRUE)</f>
        <v>1</v>
      </c>
      <c r="H535" s="52" t="str">
        <f t="shared" si="17"/>
        <v>Row 28 - If ‘TEU type’ is ‘TEU’ then ‘TEU Id’ is required</v>
      </c>
      <c r="I535" s="236" t="s">
        <v>1853</v>
      </c>
      <c r="J535" s="52" t="b">
        <f>IF(OR(INDEX(OHZ_HAZ_UNITTYPE,28,1)="TEU",),INDEX(OHZ_HAZ_TEUID,28,1)&lt;&gt;"",TRUE)</f>
        <v>1</v>
      </c>
      <c r="K535" s="52" t="str">
        <f t="shared" si="18"/>
        <v>Row 28 - If ‘TEU type’ is ‘TEU’ then ‘TEU Id’ is required</v>
      </c>
      <c r="L535" s="236" t="s">
        <v>1853</v>
      </c>
    </row>
    <row r="536" spans="7:12">
      <c r="G536" s="250" t="b">
        <f>IF(OR(INDEX(IHZ_HAZ_UNITTYPE,29,1)="TEU",),INDEX(IHZ_HAZ_TEUID,29,1)&lt;&gt;"",TRUE)</f>
        <v>1</v>
      </c>
      <c r="H536" s="52" t="str">
        <f t="shared" si="17"/>
        <v>Row 29 - If ‘TEU type’ is ‘TEU’ then ‘TEU Id’ is required</v>
      </c>
      <c r="I536" s="236" t="s">
        <v>1853</v>
      </c>
      <c r="J536" s="52" t="b">
        <f>IF(OR(INDEX(OHZ_HAZ_UNITTYPE,29,1)="TEU",),INDEX(OHZ_HAZ_TEUID,29,1)&lt;&gt;"",TRUE)</f>
        <v>1</v>
      </c>
      <c r="K536" s="52" t="str">
        <f t="shared" si="18"/>
        <v>Row 29 - If ‘TEU type’ is ‘TEU’ then ‘TEU Id’ is required</v>
      </c>
      <c r="L536" s="236" t="s">
        <v>1853</v>
      </c>
    </row>
    <row r="537" spans="7:12">
      <c r="G537" s="250" t="b">
        <f>IF(OR(INDEX(IHZ_HAZ_UNITTYPE,30,1)="TEU",),INDEX(IHZ_HAZ_TEUID,30,1)&lt;&gt;"",TRUE)</f>
        <v>1</v>
      </c>
      <c r="H537" s="52" t="str">
        <f t="shared" si="17"/>
        <v>Row 30 - If ‘TEU type’ is ‘TEU’ then ‘TEU Id’ is required</v>
      </c>
      <c r="I537" s="236" t="s">
        <v>1853</v>
      </c>
      <c r="J537" s="52" t="b">
        <f>IF(OR(INDEX(OHZ_HAZ_UNITTYPE,30,1)="TEU",),INDEX(OHZ_HAZ_TEUID,30,1)&lt;&gt;"",TRUE)</f>
        <v>1</v>
      </c>
      <c r="K537" s="52" t="str">
        <f t="shared" si="18"/>
        <v>Row 30 - If ‘TEU type’ is ‘TEU’ then ‘TEU Id’ is required</v>
      </c>
      <c r="L537" s="236" t="s">
        <v>1853</v>
      </c>
    </row>
    <row r="538" spans="7:12">
      <c r="G538" s="250" t="b">
        <f>IF(OR(INDEX(IHZ_HAZ_UNITTYPE,31,1)="TEU",),INDEX(IHZ_HAZ_TEUID,31,1)&lt;&gt;"",TRUE)</f>
        <v>1</v>
      </c>
      <c r="H538" s="52" t="str">
        <f t="shared" si="17"/>
        <v>Row 31 - If ‘TEU type’ is ‘TEU’ then ‘TEU Id’ is required</v>
      </c>
      <c r="I538" s="236" t="s">
        <v>1853</v>
      </c>
      <c r="J538" s="52" t="b">
        <f>IF(OR(INDEX(OHZ_HAZ_UNITTYPE,31,1)="TEU",),INDEX(OHZ_HAZ_TEUID,31,1)&lt;&gt;"",TRUE)</f>
        <v>1</v>
      </c>
      <c r="K538" s="52" t="str">
        <f t="shared" si="18"/>
        <v>Row 31 - If ‘TEU type’ is ‘TEU’ then ‘TEU Id’ is required</v>
      </c>
      <c r="L538" s="236" t="s">
        <v>1853</v>
      </c>
    </row>
    <row r="539" spans="7:12">
      <c r="G539" s="250" t="b">
        <f>IF(OR(INDEX(IHZ_HAZ_UNITTYPE,32,1)="TEU",),INDEX(IHZ_HAZ_TEUID,32,1)&lt;&gt;"",TRUE)</f>
        <v>1</v>
      </c>
      <c r="H539" s="52" t="str">
        <f t="shared" si="17"/>
        <v>Row 32 - If ‘TEU type’ is ‘TEU’ then ‘TEU Id’ is required</v>
      </c>
      <c r="I539" s="236" t="s">
        <v>1853</v>
      </c>
      <c r="J539" s="52" t="b">
        <f>IF(OR(INDEX(OHZ_HAZ_UNITTYPE,32,1)="TEU",),INDEX(OHZ_HAZ_TEUID,32,1)&lt;&gt;"",TRUE)</f>
        <v>1</v>
      </c>
      <c r="K539" s="52" t="str">
        <f t="shared" si="18"/>
        <v>Row 32 - If ‘TEU type’ is ‘TEU’ then ‘TEU Id’ is required</v>
      </c>
      <c r="L539" s="236" t="s">
        <v>1853</v>
      </c>
    </row>
    <row r="540" spans="7:12">
      <c r="G540" s="250" t="b">
        <f>IF(OR(INDEX(IHZ_HAZ_UNITTYPE,33,1)="TEU",),INDEX(IHZ_HAZ_TEUID,33,1)&lt;&gt;"",TRUE)</f>
        <v>1</v>
      </c>
      <c r="H540" s="52" t="str">
        <f t="shared" si="17"/>
        <v>Row 33 - If ‘TEU type’ is ‘TEU’ then ‘TEU Id’ is required</v>
      </c>
      <c r="I540" s="236" t="s">
        <v>1853</v>
      </c>
      <c r="J540" s="52" t="b">
        <f>IF(OR(INDEX(OHZ_HAZ_UNITTYPE,33,1)="TEU",),INDEX(OHZ_HAZ_TEUID,33,1)&lt;&gt;"",TRUE)</f>
        <v>1</v>
      </c>
      <c r="K540" s="52" t="str">
        <f t="shared" si="18"/>
        <v>Row 33 - If ‘TEU type’ is ‘TEU’ then ‘TEU Id’ is required</v>
      </c>
      <c r="L540" s="236" t="s">
        <v>1853</v>
      </c>
    </row>
    <row r="541" spans="7:12">
      <c r="G541" s="250" t="b">
        <f>IF(OR(INDEX(IHZ_HAZ_UNITTYPE,34,1)="TEU",),INDEX(IHZ_HAZ_TEUID,34,1)&lt;&gt;"",TRUE)</f>
        <v>1</v>
      </c>
      <c r="H541" s="52" t="str">
        <f t="shared" si="17"/>
        <v>Row 34 - If ‘TEU type’ is ‘TEU’ then ‘TEU Id’ is required</v>
      </c>
      <c r="I541" s="236" t="s">
        <v>1853</v>
      </c>
      <c r="J541" s="52" t="b">
        <f>IF(OR(INDEX(OHZ_HAZ_UNITTYPE,34,1)="TEU",),INDEX(OHZ_HAZ_TEUID,34,1)&lt;&gt;"",TRUE)</f>
        <v>1</v>
      </c>
      <c r="K541" s="52" t="str">
        <f t="shared" si="18"/>
        <v>Row 34 - If ‘TEU type’ is ‘TEU’ then ‘TEU Id’ is required</v>
      </c>
      <c r="L541" s="236" t="s">
        <v>1853</v>
      </c>
    </row>
    <row r="542" spans="7:12">
      <c r="G542" s="250" t="b">
        <f>IF(OR(INDEX(IHZ_HAZ_UNITTYPE,35,1)="TEU",),INDEX(IHZ_HAZ_TEUID,35,1)&lt;&gt;"",TRUE)</f>
        <v>1</v>
      </c>
      <c r="H542" s="52" t="str">
        <f t="shared" si="17"/>
        <v>Row 35 - If ‘TEU type’ is ‘TEU’ then ‘TEU Id’ is required</v>
      </c>
      <c r="I542" s="236" t="s">
        <v>1853</v>
      </c>
      <c r="J542" s="52" t="b">
        <f>IF(OR(INDEX(OHZ_HAZ_UNITTYPE,35,1)="TEU",),INDEX(OHZ_HAZ_TEUID,35,1)&lt;&gt;"",TRUE)</f>
        <v>1</v>
      </c>
      <c r="K542" s="52" t="str">
        <f t="shared" si="18"/>
        <v>Row 35 - If ‘TEU type’ is ‘TEU’ then ‘TEU Id’ is required</v>
      </c>
      <c r="L542" s="236" t="s">
        <v>1853</v>
      </c>
    </row>
    <row r="543" spans="7:12">
      <c r="G543" s="250" t="b">
        <f>IF(OR(INDEX(IHZ_HAZ_UNITTYPE,36,1)="TEU",),INDEX(IHZ_HAZ_TEUID,36,1)&lt;&gt;"",TRUE)</f>
        <v>1</v>
      </c>
      <c r="H543" s="52" t="str">
        <f t="shared" si="17"/>
        <v>Row 36 - If ‘TEU type’ is ‘TEU’ then ‘TEU Id’ is required</v>
      </c>
      <c r="I543" s="236" t="s">
        <v>1853</v>
      </c>
      <c r="J543" s="52" t="b">
        <f>IF(OR(INDEX(OHZ_HAZ_UNITTYPE,36,1)="TEU",),INDEX(OHZ_HAZ_TEUID,36,1)&lt;&gt;"",TRUE)</f>
        <v>1</v>
      </c>
      <c r="K543" s="52" t="str">
        <f t="shared" si="18"/>
        <v>Row 36 - If ‘TEU type’ is ‘TEU’ then ‘TEU Id’ is required</v>
      </c>
      <c r="L543" s="236" t="s">
        <v>1853</v>
      </c>
    </row>
    <row r="544" spans="7:12">
      <c r="G544" s="250" t="b">
        <f>IF(OR(INDEX(IHZ_HAZ_UNITTYPE,37,1)="TEU",),INDEX(IHZ_HAZ_TEUID,37,1)&lt;&gt;"",TRUE)</f>
        <v>1</v>
      </c>
      <c r="H544" s="52" t="str">
        <f t="shared" si="17"/>
        <v>Row 37 - If ‘TEU type’ is ‘TEU’ then ‘TEU Id’ is required</v>
      </c>
      <c r="I544" s="236" t="s">
        <v>1853</v>
      </c>
      <c r="J544" s="52" t="b">
        <f>IF(OR(INDEX(OHZ_HAZ_UNITTYPE,37,1)="TEU",),INDEX(OHZ_HAZ_TEUID,37,1)&lt;&gt;"",TRUE)</f>
        <v>1</v>
      </c>
      <c r="K544" s="52" t="str">
        <f t="shared" si="18"/>
        <v>Row 37 - If ‘TEU type’ is ‘TEU’ then ‘TEU Id’ is required</v>
      </c>
      <c r="L544" s="236" t="s">
        <v>1853</v>
      </c>
    </row>
    <row r="545" spans="7:12">
      <c r="G545" s="250" t="b">
        <f>IF(OR(INDEX(IHZ_HAZ_UNITTYPE,38,1)="TEU",),INDEX(IHZ_HAZ_TEUID,38,1)&lt;&gt;"",TRUE)</f>
        <v>1</v>
      </c>
      <c r="H545" s="52" t="str">
        <f t="shared" si="17"/>
        <v>Row 38 - If ‘TEU type’ is ‘TEU’ then ‘TEU Id’ is required</v>
      </c>
      <c r="I545" s="236" t="s">
        <v>1853</v>
      </c>
      <c r="J545" s="52" t="b">
        <f>IF(OR(INDEX(OHZ_HAZ_UNITTYPE,38,1)="TEU",),INDEX(OHZ_HAZ_TEUID,38,1)&lt;&gt;"",TRUE)</f>
        <v>1</v>
      </c>
      <c r="K545" s="52" t="str">
        <f t="shared" si="18"/>
        <v>Row 38 - If ‘TEU type’ is ‘TEU’ then ‘TEU Id’ is required</v>
      </c>
      <c r="L545" s="236" t="s">
        <v>1853</v>
      </c>
    </row>
    <row r="546" spans="7:12">
      <c r="G546" s="250" t="b">
        <f>IF(OR(INDEX(IHZ_HAZ_UNITTYPE,39,1)="TEU",),INDEX(IHZ_HAZ_TEUID,39,1)&lt;&gt;"",TRUE)</f>
        <v>1</v>
      </c>
      <c r="H546" s="52" t="str">
        <f t="shared" si="17"/>
        <v>Row 39 - If ‘TEU type’ is ‘TEU’ then ‘TEU Id’ is required</v>
      </c>
      <c r="I546" s="236" t="s">
        <v>1853</v>
      </c>
      <c r="J546" s="52" t="b">
        <f>IF(OR(INDEX(OHZ_HAZ_UNITTYPE,39,1)="TEU",),INDEX(OHZ_HAZ_TEUID,39,1)&lt;&gt;"",TRUE)</f>
        <v>1</v>
      </c>
      <c r="K546" s="52" t="str">
        <f t="shared" si="18"/>
        <v>Row 39 - If ‘TEU type’ is ‘TEU’ then ‘TEU Id’ is required</v>
      </c>
      <c r="L546" s="236" t="s">
        <v>1853</v>
      </c>
    </row>
    <row r="547" spans="7:12">
      <c r="G547" s="250" t="b">
        <f>IF(OR(INDEX(IHZ_HAZ_UNITTYPE,40,1)="TEU",),INDEX(IHZ_HAZ_TEUID,40,1)&lt;&gt;"",TRUE)</f>
        <v>1</v>
      </c>
      <c r="H547" s="52" t="str">
        <f t="shared" si="17"/>
        <v>Row 40 - If ‘TEU type’ is ‘TEU’ then ‘TEU Id’ is required</v>
      </c>
      <c r="I547" s="236" t="s">
        <v>1853</v>
      </c>
      <c r="J547" s="52" t="b">
        <f>IF(OR(INDEX(OHZ_HAZ_UNITTYPE,40,1)="TEU",),INDEX(OHZ_HAZ_TEUID,40,1)&lt;&gt;"",TRUE)</f>
        <v>1</v>
      </c>
      <c r="K547" s="52" t="str">
        <f t="shared" si="18"/>
        <v>Row 40 - If ‘TEU type’ is ‘TEU’ then ‘TEU Id’ is required</v>
      </c>
      <c r="L547" s="236" t="s">
        <v>1853</v>
      </c>
    </row>
    <row r="548" spans="7:12">
      <c r="G548" s="250" t="b">
        <f>IF(OR(INDEX(IHZ_HAZ_UNITTYPE,41,1)="TEU",),INDEX(IHZ_HAZ_TEUID,41,1)&lt;&gt;"",TRUE)</f>
        <v>1</v>
      </c>
      <c r="H548" s="52" t="str">
        <f t="shared" si="17"/>
        <v>Row 41 - If ‘TEU type’ is ‘TEU’ then ‘TEU Id’ is required</v>
      </c>
      <c r="I548" s="236" t="s">
        <v>1853</v>
      </c>
      <c r="J548" s="52" t="b">
        <f>IF(OR(INDEX(OHZ_HAZ_UNITTYPE,41,1)="TEU",),INDEX(OHZ_HAZ_TEUID,41,1)&lt;&gt;"",TRUE)</f>
        <v>1</v>
      </c>
      <c r="K548" s="52" t="str">
        <f t="shared" si="18"/>
        <v>Row 41 - If ‘TEU type’ is ‘TEU’ then ‘TEU Id’ is required</v>
      </c>
      <c r="L548" s="236" t="s">
        <v>1853</v>
      </c>
    </row>
    <row r="549" spans="7:12">
      <c r="G549" s="250" t="b">
        <f>IF(OR(INDEX(IHZ_HAZ_UNITTYPE,42,1)="TEU",),INDEX(IHZ_HAZ_TEUID,42,1)&lt;&gt;"",TRUE)</f>
        <v>1</v>
      </c>
      <c r="H549" s="52" t="str">
        <f t="shared" si="17"/>
        <v>Row 42 - If ‘TEU type’ is ‘TEU’ then ‘TEU Id’ is required</v>
      </c>
      <c r="I549" s="236" t="s">
        <v>1853</v>
      </c>
      <c r="J549" s="52" t="b">
        <f>IF(OR(INDEX(OHZ_HAZ_UNITTYPE,42,1)="TEU",),INDEX(OHZ_HAZ_TEUID,42,1)&lt;&gt;"",TRUE)</f>
        <v>1</v>
      </c>
      <c r="K549" s="52" t="str">
        <f t="shared" si="18"/>
        <v>Row 42 - If ‘TEU type’ is ‘TEU’ then ‘TEU Id’ is required</v>
      </c>
      <c r="L549" s="236" t="s">
        <v>1853</v>
      </c>
    </row>
    <row r="550" spans="7:12">
      <c r="G550" s="250" t="b">
        <f>IF(OR(INDEX(IHZ_HAZ_UNITTYPE,43,1)="TEU",),INDEX(IHZ_HAZ_TEUID,43,1)&lt;&gt;"",TRUE)</f>
        <v>1</v>
      </c>
      <c r="H550" s="52" t="str">
        <f t="shared" si="17"/>
        <v>Row 43 - If ‘TEU type’ is ‘TEU’ then ‘TEU Id’ is required</v>
      </c>
      <c r="I550" s="236" t="s">
        <v>1853</v>
      </c>
      <c r="J550" s="52" t="b">
        <f>IF(OR(INDEX(OHZ_HAZ_UNITTYPE,43,1)="TEU",),INDEX(OHZ_HAZ_TEUID,43,1)&lt;&gt;"",TRUE)</f>
        <v>1</v>
      </c>
      <c r="K550" s="52" t="str">
        <f t="shared" si="18"/>
        <v>Row 43 - If ‘TEU type’ is ‘TEU’ then ‘TEU Id’ is required</v>
      </c>
      <c r="L550" s="236" t="s">
        <v>1853</v>
      </c>
    </row>
    <row r="551" spans="7:12">
      <c r="G551" s="250" t="b">
        <f>IF(OR(INDEX(IHZ_HAZ_UNITTYPE,44,1)="TEU",),INDEX(IHZ_HAZ_TEUID,44,1)&lt;&gt;"",TRUE)</f>
        <v>1</v>
      </c>
      <c r="H551" s="52" t="str">
        <f t="shared" si="17"/>
        <v>Row 44 - If ‘TEU type’ is ‘TEU’ then ‘TEU Id’ is required</v>
      </c>
      <c r="I551" s="236" t="s">
        <v>1853</v>
      </c>
      <c r="J551" s="52" t="b">
        <f>IF(OR(INDEX(OHZ_HAZ_UNITTYPE,44,1)="TEU",),INDEX(OHZ_HAZ_TEUID,44,1)&lt;&gt;"",TRUE)</f>
        <v>1</v>
      </c>
      <c r="K551" s="52" t="str">
        <f t="shared" si="18"/>
        <v>Row 44 - If ‘TEU type’ is ‘TEU’ then ‘TEU Id’ is required</v>
      </c>
      <c r="L551" s="236" t="s">
        <v>1853</v>
      </c>
    </row>
    <row r="552" spans="7:12">
      <c r="G552" s="250" t="b">
        <f>IF(OR(INDEX(IHZ_HAZ_UNITTYPE,45,1)="TEU",),INDEX(IHZ_HAZ_TEUID,45,1)&lt;&gt;"",TRUE)</f>
        <v>1</v>
      </c>
      <c r="H552" s="52" t="str">
        <f t="shared" si="17"/>
        <v>Row 45 - If ‘TEU type’ is ‘TEU’ then ‘TEU Id’ is required</v>
      </c>
      <c r="I552" s="236" t="s">
        <v>1853</v>
      </c>
      <c r="J552" s="52" t="b">
        <f>IF(OR(INDEX(OHZ_HAZ_UNITTYPE,45,1)="TEU",),INDEX(OHZ_HAZ_TEUID,45,1)&lt;&gt;"",TRUE)</f>
        <v>1</v>
      </c>
      <c r="K552" s="52" t="str">
        <f t="shared" si="18"/>
        <v>Row 45 - If ‘TEU type’ is ‘TEU’ then ‘TEU Id’ is required</v>
      </c>
      <c r="L552" s="236" t="s">
        <v>1853</v>
      </c>
    </row>
    <row r="553" spans="7:12">
      <c r="G553" s="250" t="b">
        <f>IF(OR(INDEX(IHZ_HAZ_UNITTYPE,46,1)="TEU",),INDEX(IHZ_HAZ_TEUID,46,1)&lt;&gt;"",TRUE)</f>
        <v>1</v>
      </c>
      <c r="H553" s="52" t="str">
        <f t="shared" si="17"/>
        <v>Row 46 - If ‘TEU type’ is ‘TEU’ then ‘TEU Id’ is required</v>
      </c>
      <c r="I553" s="236" t="s">
        <v>1853</v>
      </c>
      <c r="J553" s="52" t="b">
        <f>IF(OR(INDEX(OHZ_HAZ_UNITTYPE,46,1)="TEU",),INDEX(OHZ_HAZ_TEUID,46,1)&lt;&gt;"",TRUE)</f>
        <v>1</v>
      </c>
      <c r="K553" s="52" t="str">
        <f t="shared" si="18"/>
        <v>Row 46 - If ‘TEU type’ is ‘TEU’ then ‘TEU Id’ is required</v>
      </c>
      <c r="L553" s="236" t="s">
        <v>1853</v>
      </c>
    </row>
    <row r="554" spans="7:12">
      <c r="G554" s="250" t="b">
        <f>IF(OR(INDEX(IHZ_HAZ_UNITTYPE,47,1)="TEU",),INDEX(IHZ_HAZ_TEUID,47,1)&lt;&gt;"",TRUE)</f>
        <v>1</v>
      </c>
      <c r="H554" s="52" t="str">
        <f t="shared" si="17"/>
        <v>Row 47 - If ‘TEU type’ is ‘TEU’ then ‘TEU Id’ is required</v>
      </c>
      <c r="I554" s="236" t="s">
        <v>1853</v>
      </c>
      <c r="J554" s="52" t="b">
        <f>IF(OR(INDEX(OHZ_HAZ_UNITTYPE,47,1)="TEU",),INDEX(OHZ_HAZ_TEUID,47,1)&lt;&gt;"",TRUE)</f>
        <v>1</v>
      </c>
      <c r="K554" s="52" t="str">
        <f t="shared" si="18"/>
        <v>Row 47 - If ‘TEU type’ is ‘TEU’ then ‘TEU Id’ is required</v>
      </c>
      <c r="L554" s="236" t="s">
        <v>1853</v>
      </c>
    </row>
    <row r="555" spans="7:12">
      <c r="G555" s="250" t="b">
        <f>IF(OR(INDEX(IHZ_HAZ_UNITTYPE,48,1)="TEU",),INDEX(IHZ_HAZ_TEUID,48,1)&lt;&gt;"",TRUE)</f>
        <v>1</v>
      </c>
      <c r="H555" s="52" t="str">
        <f t="shared" si="17"/>
        <v>Row 48 - If ‘TEU type’ is ‘TEU’ then ‘TEU Id’ is required</v>
      </c>
      <c r="I555" s="236" t="s">
        <v>1853</v>
      </c>
      <c r="J555" s="52" t="b">
        <f>IF(OR(INDEX(OHZ_HAZ_UNITTYPE,48,1)="TEU",),INDEX(OHZ_HAZ_TEUID,48,1)&lt;&gt;"",TRUE)</f>
        <v>1</v>
      </c>
      <c r="K555" s="52" t="str">
        <f t="shared" si="18"/>
        <v>Row 48 - If ‘TEU type’ is ‘TEU’ then ‘TEU Id’ is required</v>
      </c>
      <c r="L555" s="236" t="s">
        <v>1853</v>
      </c>
    </row>
    <row r="556" spans="7:12">
      <c r="G556" s="250" t="b">
        <f>IF(OR(INDEX(IHZ_HAZ_UNITTYPE,49,1)="TEU",),INDEX(IHZ_HAZ_TEUID,49,1)&lt;&gt;"",TRUE)</f>
        <v>1</v>
      </c>
      <c r="H556" s="52" t="str">
        <f t="shared" si="17"/>
        <v>Row 49 - If ‘TEU type’ is ‘TEU’ then ‘TEU Id’ is required</v>
      </c>
      <c r="I556" s="236" t="s">
        <v>1853</v>
      </c>
      <c r="J556" s="52" t="b">
        <f>IF(OR(INDEX(OHZ_HAZ_UNITTYPE,49,1)="TEU",),INDEX(OHZ_HAZ_TEUID,49,1)&lt;&gt;"",TRUE)</f>
        <v>1</v>
      </c>
      <c r="K556" s="52" t="str">
        <f t="shared" si="18"/>
        <v>Row 49 - If ‘TEU type’ is ‘TEU’ then ‘TEU Id’ is required</v>
      </c>
      <c r="L556" s="236" t="s">
        <v>1853</v>
      </c>
    </row>
    <row r="557" spans="7:12">
      <c r="G557" s="250" t="b">
        <f>IF(OR(INDEX(IHZ_HAZ_UNITTYPE,50,1)="TEU",),INDEX(IHZ_HAZ_TEUID,50,1)&lt;&gt;"",TRUE)</f>
        <v>1</v>
      </c>
      <c r="H557" s="52" t="str">
        <f t="shared" si="17"/>
        <v>Row 50 - If ‘TEU type’ is ‘TEU’ then ‘TEU Id’ is required</v>
      </c>
      <c r="I557" s="236" t="s">
        <v>1853</v>
      </c>
      <c r="J557" s="52" t="b">
        <f>IF(OR(INDEX(OHZ_HAZ_UNITTYPE,50,1)="TEU",),INDEX(OHZ_HAZ_TEUID,50,1)&lt;&gt;"",TRUE)</f>
        <v>1</v>
      </c>
      <c r="K557" s="52" t="str">
        <f t="shared" si="18"/>
        <v>Row 50 - If ‘TEU type’ is ‘TEU’ then ‘TEU Id’ is required</v>
      </c>
      <c r="L557" s="236" t="s">
        <v>1853</v>
      </c>
    </row>
    <row r="558" spans="7:12">
      <c r="G558" s="250" t="b">
        <f>IF(OR(INDEX(IHZ_HAZ_UNITTYPE,51,1)="TEU",),INDEX(IHZ_HAZ_TEUID,51,1)&lt;&gt;"",TRUE)</f>
        <v>1</v>
      </c>
      <c r="H558" s="52" t="str">
        <f t="shared" si="17"/>
        <v>Row 51 - If ‘TEU type’ is ‘TEU’ then ‘TEU Id’ is required</v>
      </c>
      <c r="I558" s="236" t="s">
        <v>1853</v>
      </c>
      <c r="J558" s="52" t="b">
        <f>IF(OR(INDEX(OHZ_HAZ_UNITTYPE,51,1)="TEU",),INDEX(OHZ_HAZ_TEUID,51,1)&lt;&gt;"",TRUE)</f>
        <v>1</v>
      </c>
      <c r="K558" s="52" t="str">
        <f t="shared" si="18"/>
        <v>Row 51 - If ‘TEU type’ is ‘TEU’ then ‘TEU Id’ is required</v>
      </c>
      <c r="L558" s="236" t="s">
        <v>1853</v>
      </c>
    </row>
    <row r="559" spans="7:12">
      <c r="G559" s="250" t="b">
        <f>IF(OR(INDEX(IHZ_HAZ_UNITTYPE,52,1)="TEU",),INDEX(IHZ_HAZ_TEUID,52,1)&lt;&gt;"",TRUE)</f>
        <v>1</v>
      </c>
      <c r="H559" s="52" t="str">
        <f t="shared" si="17"/>
        <v>Row 52 - If ‘TEU type’ is ‘TEU’ then ‘TEU Id’ is required</v>
      </c>
      <c r="I559" s="236" t="s">
        <v>1853</v>
      </c>
      <c r="J559" s="52" t="b">
        <f>IF(OR(INDEX(OHZ_HAZ_UNITTYPE,52,1)="TEU",),INDEX(OHZ_HAZ_TEUID,52,1)&lt;&gt;"",TRUE)</f>
        <v>1</v>
      </c>
      <c r="K559" s="52" t="str">
        <f t="shared" si="18"/>
        <v>Row 52 - If ‘TEU type’ is ‘TEU’ then ‘TEU Id’ is required</v>
      </c>
      <c r="L559" s="236" t="s">
        <v>1853</v>
      </c>
    </row>
    <row r="560" spans="7:12">
      <c r="G560" s="250" t="b">
        <f>IF(OR(INDEX(IHZ_HAZ_UNITTYPE,53,1)="TEU",),INDEX(IHZ_HAZ_TEUID,53,1)&lt;&gt;"",TRUE)</f>
        <v>1</v>
      </c>
      <c r="H560" s="52" t="str">
        <f t="shared" si="17"/>
        <v>Row 53 - If ‘TEU type’ is ‘TEU’ then ‘TEU Id’ is required</v>
      </c>
      <c r="I560" s="236" t="s">
        <v>1853</v>
      </c>
      <c r="J560" s="52" t="b">
        <f>IF(OR(INDEX(OHZ_HAZ_UNITTYPE,53,1)="TEU",),INDEX(OHZ_HAZ_TEUID,53,1)&lt;&gt;"",TRUE)</f>
        <v>1</v>
      </c>
      <c r="K560" s="52" t="str">
        <f t="shared" si="18"/>
        <v>Row 53 - If ‘TEU type’ is ‘TEU’ then ‘TEU Id’ is required</v>
      </c>
      <c r="L560" s="236" t="s">
        <v>1853</v>
      </c>
    </row>
    <row r="561" spans="7:12">
      <c r="G561" s="250" t="b">
        <f>IF(OR(INDEX(IHZ_HAZ_UNITTYPE,54,1)="TEU",),INDEX(IHZ_HAZ_TEUID,54,1)&lt;&gt;"",TRUE)</f>
        <v>1</v>
      </c>
      <c r="H561" s="52" t="str">
        <f t="shared" si="17"/>
        <v>Row 54 - If ‘TEU type’ is ‘TEU’ then ‘TEU Id’ is required</v>
      </c>
      <c r="I561" s="236" t="s">
        <v>1853</v>
      </c>
      <c r="J561" s="52" t="b">
        <f>IF(OR(INDEX(OHZ_HAZ_UNITTYPE,54,1)="TEU",),INDEX(OHZ_HAZ_TEUID,54,1)&lt;&gt;"",TRUE)</f>
        <v>1</v>
      </c>
      <c r="K561" s="52" t="str">
        <f t="shared" si="18"/>
        <v>Row 54 - If ‘TEU type’ is ‘TEU’ then ‘TEU Id’ is required</v>
      </c>
      <c r="L561" s="236" t="s">
        <v>1853</v>
      </c>
    </row>
    <row r="562" spans="7:12">
      <c r="G562" s="250" t="b">
        <f>IF(OR(INDEX(IHZ_HAZ_UNITTYPE,55,1)="TEU",),INDEX(IHZ_HAZ_TEUID,55,1)&lt;&gt;"",TRUE)</f>
        <v>1</v>
      </c>
      <c r="H562" s="52" t="str">
        <f t="shared" si="17"/>
        <v>Row 55 - If ‘TEU type’ is ‘TEU’ then ‘TEU Id’ is required</v>
      </c>
      <c r="I562" s="236" t="s">
        <v>1853</v>
      </c>
      <c r="J562" s="52" t="b">
        <f>IF(OR(INDEX(OHZ_HAZ_UNITTYPE,55,1)="TEU",),INDEX(OHZ_HAZ_TEUID,55,1)&lt;&gt;"",TRUE)</f>
        <v>1</v>
      </c>
      <c r="K562" s="52" t="str">
        <f t="shared" si="18"/>
        <v>Row 55 - If ‘TEU type’ is ‘TEU’ then ‘TEU Id’ is required</v>
      </c>
      <c r="L562" s="236" t="s">
        <v>1853</v>
      </c>
    </row>
    <row r="563" spans="7:12">
      <c r="G563" s="250" t="b">
        <f>IF(OR(INDEX(IHZ_HAZ_UNITTYPE,56,1)="TEU",),INDEX(IHZ_HAZ_TEUID,56,1)&lt;&gt;"",TRUE)</f>
        <v>1</v>
      </c>
      <c r="H563" s="52" t="str">
        <f t="shared" si="17"/>
        <v>Row 56 - If ‘TEU type’ is ‘TEU’ then ‘TEU Id’ is required</v>
      </c>
      <c r="I563" s="236" t="s">
        <v>1853</v>
      </c>
      <c r="J563" s="52" t="b">
        <f>IF(OR(INDEX(OHZ_HAZ_UNITTYPE,56,1)="TEU",),INDEX(OHZ_HAZ_TEUID,56,1)&lt;&gt;"",TRUE)</f>
        <v>1</v>
      </c>
      <c r="K563" s="52" t="str">
        <f t="shared" si="18"/>
        <v>Row 56 - If ‘TEU type’ is ‘TEU’ then ‘TEU Id’ is required</v>
      </c>
      <c r="L563" s="236" t="s">
        <v>1853</v>
      </c>
    </row>
    <row r="564" spans="7:12">
      <c r="G564" s="250" t="b">
        <f>IF(OR(INDEX(IHZ_HAZ_UNITTYPE,57,1)="TEU",),INDEX(IHZ_HAZ_TEUID,57,1)&lt;&gt;"",TRUE)</f>
        <v>1</v>
      </c>
      <c r="H564" s="52" t="str">
        <f t="shared" si="17"/>
        <v>Row 57 - If ‘TEU type’ is ‘TEU’ then ‘TEU Id’ is required</v>
      </c>
      <c r="I564" s="236" t="s">
        <v>1853</v>
      </c>
      <c r="J564" s="52" t="b">
        <f>IF(OR(INDEX(OHZ_HAZ_UNITTYPE,57,1)="TEU",),INDEX(OHZ_HAZ_TEUID,57,1)&lt;&gt;"",TRUE)</f>
        <v>1</v>
      </c>
      <c r="K564" s="52" t="str">
        <f t="shared" si="18"/>
        <v>Row 57 - If ‘TEU type’ is ‘TEU’ then ‘TEU Id’ is required</v>
      </c>
      <c r="L564" s="236" t="s">
        <v>1853</v>
      </c>
    </row>
    <row r="565" spans="7:12">
      <c r="G565" s="250" t="b">
        <f>IF(OR(INDEX(IHZ_HAZ_UNITTYPE,58,1)="TEU",),INDEX(IHZ_HAZ_TEUID,58,1)&lt;&gt;"",TRUE)</f>
        <v>1</v>
      </c>
      <c r="H565" s="52" t="str">
        <f t="shared" si="17"/>
        <v>Row 58 - If ‘TEU type’ is ‘TEU’ then ‘TEU Id’ is required</v>
      </c>
      <c r="I565" s="236" t="s">
        <v>1853</v>
      </c>
      <c r="J565" s="52" t="b">
        <f>IF(OR(INDEX(OHZ_HAZ_UNITTYPE,58,1)="TEU",),INDEX(OHZ_HAZ_TEUID,58,1)&lt;&gt;"",TRUE)</f>
        <v>1</v>
      </c>
      <c r="K565" s="52" t="str">
        <f t="shared" si="18"/>
        <v>Row 58 - If ‘TEU type’ is ‘TEU’ then ‘TEU Id’ is required</v>
      </c>
      <c r="L565" s="236" t="s">
        <v>1853</v>
      </c>
    </row>
    <row r="566" spans="7:12">
      <c r="G566" s="250" t="b">
        <f>IF(OR(INDEX(IHZ_HAZ_UNITTYPE,59,1)="TEU",),INDEX(IHZ_HAZ_TEUID,59,1)&lt;&gt;"",TRUE)</f>
        <v>1</v>
      </c>
      <c r="H566" s="52" t="str">
        <f t="shared" si="17"/>
        <v>Row 59 - If ‘TEU type’ is ‘TEU’ then ‘TEU Id’ is required</v>
      </c>
      <c r="I566" s="236" t="s">
        <v>1853</v>
      </c>
      <c r="J566" s="52" t="b">
        <f>IF(OR(INDEX(OHZ_HAZ_UNITTYPE,59,1)="TEU",),INDEX(OHZ_HAZ_TEUID,59,1)&lt;&gt;"",TRUE)</f>
        <v>1</v>
      </c>
      <c r="K566" s="52" t="str">
        <f t="shared" si="18"/>
        <v>Row 59 - If ‘TEU type’ is ‘TEU’ then ‘TEU Id’ is required</v>
      </c>
      <c r="L566" s="236" t="s">
        <v>1853</v>
      </c>
    </row>
    <row r="567" spans="7:12">
      <c r="G567" s="250" t="b">
        <f>IF(OR(INDEX(IHZ_HAZ_UNITTYPE,60,1)="TEU",),INDEX(IHZ_HAZ_TEUID,60,1)&lt;&gt;"",TRUE)</f>
        <v>1</v>
      </c>
      <c r="H567" s="52" t="str">
        <f t="shared" si="17"/>
        <v>Row 60 - If ‘TEU type’ is ‘TEU’ then ‘TEU Id’ is required</v>
      </c>
      <c r="I567" s="236" t="s">
        <v>1853</v>
      </c>
      <c r="J567" s="52" t="b">
        <f>IF(OR(INDEX(OHZ_HAZ_UNITTYPE,60,1)="TEU",),INDEX(OHZ_HAZ_TEUID,60,1)&lt;&gt;"",TRUE)</f>
        <v>1</v>
      </c>
      <c r="K567" s="52" t="str">
        <f t="shared" si="18"/>
        <v>Row 60 - If ‘TEU type’ is ‘TEU’ then ‘TEU Id’ is required</v>
      </c>
      <c r="L567" s="236" t="s">
        <v>1853</v>
      </c>
    </row>
    <row r="568" spans="7:12">
      <c r="G568" s="250" t="b">
        <f>IF(OR(INDEX(IHZ_HAZ_UNITTYPE,61,1)="TEU",),INDEX(IHZ_HAZ_TEUID,61,1)&lt;&gt;"",TRUE)</f>
        <v>1</v>
      </c>
      <c r="H568" s="52" t="str">
        <f t="shared" si="17"/>
        <v>Row 61 - If ‘TEU type’ is ‘TEU’ then ‘TEU Id’ is required</v>
      </c>
      <c r="I568" s="236" t="s">
        <v>1853</v>
      </c>
      <c r="J568" s="52" t="b">
        <f>IF(OR(INDEX(OHZ_HAZ_UNITTYPE,61,1)="TEU",),INDEX(OHZ_HAZ_TEUID,61,1)&lt;&gt;"",TRUE)</f>
        <v>1</v>
      </c>
      <c r="K568" s="52" t="str">
        <f t="shared" si="18"/>
        <v>Row 61 - If ‘TEU type’ is ‘TEU’ then ‘TEU Id’ is required</v>
      </c>
      <c r="L568" s="236" t="s">
        <v>1853</v>
      </c>
    </row>
    <row r="569" spans="7:12">
      <c r="G569" s="250" t="b">
        <f>IF(OR(INDEX(IHZ_HAZ_UNITTYPE,62,1)="TEU",),INDEX(IHZ_HAZ_TEUID,62,1)&lt;&gt;"",TRUE)</f>
        <v>1</v>
      </c>
      <c r="H569" s="52" t="str">
        <f t="shared" si="17"/>
        <v>Row 62 - If ‘TEU type’ is ‘TEU’ then ‘TEU Id’ is required</v>
      </c>
      <c r="I569" s="236" t="s">
        <v>1853</v>
      </c>
      <c r="J569" s="52" t="b">
        <f>IF(OR(INDEX(OHZ_HAZ_UNITTYPE,62,1)="TEU",),INDEX(OHZ_HAZ_TEUID,62,1)&lt;&gt;"",TRUE)</f>
        <v>1</v>
      </c>
      <c r="K569" s="52" t="str">
        <f t="shared" si="18"/>
        <v>Row 62 - If ‘TEU type’ is ‘TEU’ then ‘TEU Id’ is required</v>
      </c>
      <c r="L569" s="236" t="s">
        <v>1853</v>
      </c>
    </row>
    <row r="570" spans="7:12">
      <c r="G570" s="250" t="b">
        <f>IF(OR(INDEX(IHZ_HAZ_UNITTYPE,63,1)="TEU",),INDEX(IHZ_HAZ_TEUID,63,1)&lt;&gt;"",TRUE)</f>
        <v>1</v>
      </c>
      <c r="H570" s="52" t="str">
        <f t="shared" si="17"/>
        <v>Row 63 - If ‘TEU type’ is ‘TEU’ then ‘TEU Id’ is required</v>
      </c>
      <c r="I570" s="236" t="s">
        <v>1853</v>
      </c>
      <c r="J570" s="52" t="b">
        <f>IF(OR(INDEX(OHZ_HAZ_UNITTYPE,63,1)="TEU",),INDEX(OHZ_HAZ_TEUID,63,1)&lt;&gt;"",TRUE)</f>
        <v>1</v>
      </c>
      <c r="K570" s="52" t="str">
        <f t="shared" si="18"/>
        <v>Row 63 - If ‘TEU type’ is ‘TEU’ then ‘TEU Id’ is required</v>
      </c>
      <c r="L570" s="236" t="s">
        <v>1853</v>
      </c>
    </row>
    <row r="571" spans="7:12">
      <c r="G571" s="250" t="b">
        <f>IF(OR(INDEX(IHZ_HAZ_UNITTYPE,64,1)="TEU",),INDEX(IHZ_HAZ_TEUID,64,1)&lt;&gt;"",TRUE)</f>
        <v>1</v>
      </c>
      <c r="H571" s="52" t="str">
        <f t="shared" si="17"/>
        <v>Row 64 - If ‘TEU type’ is ‘TEU’ then ‘TEU Id’ is required</v>
      </c>
      <c r="I571" s="236" t="s">
        <v>1853</v>
      </c>
      <c r="J571" s="52" t="b">
        <f>IF(OR(INDEX(OHZ_HAZ_UNITTYPE,64,1)="TEU",),INDEX(OHZ_HAZ_TEUID,64,1)&lt;&gt;"",TRUE)</f>
        <v>1</v>
      </c>
      <c r="K571" s="52" t="str">
        <f t="shared" si="18"/>
        <v>Row 64 - If ‘TEU type’ is ‘TEU’ then ‘TEU Id’ is required</v>
      </c>
      <c r="L571" s="236" t="s">
        <v>1853</v>
      </c>
    </row>
    <row r="572" spans="7:12">
      <c r="G572" s="250" t="b">
        <f>IF(OR(INDEX(IHZ_HAZ_UNITTYPE,65,1)="TEU",),INDEX(IHZ_HAZ_TEUID,65,1)&lt;&gt;"",TRUE)</f>
        <v>1</v>
      </c>
      <c r="H572" s="52" t="str">
        <f t="shared" si="17"/>
        <v>Row 65 - If ‘TEU type’ is ‘TEU’ then ‘TEU Id’ is required</v>
      </c>
      <c r="I572" s="236" t="s">
        <v>1853</v>
      </c>
      <c r="J572" s="52" t="b">
        <f>IF(OR(INDEX(OHZ_HAZ_UNITTYPE,65,1)="TEU",),INDEX(OHZ_HAZ_TEUID,65,1)&lt;&gt;"",TRUE)</f>
        <v>1</v>
      </c>
      <c r="K572" s="52" t="str">
        <f t="shared" si="18"/>
        <v>Row 65 - If ‘TEU type’ is ‘TEU’ then ‘TEU Id’ is required</v>
      </c>
      <c r="L572" s="236" t="s">
        <v>1853</v>
      </c>
    </row>
    <row r="573" spans="7:12">
      <c r="G573" s="250" t="b">
        <f>IF(OR(INDEX(IHZ_HAZ_UNITTYPE,66,1)="TEU",),INDEX(IHZ_HAZ_TEUID,66,1)&lt;&gt;"",TRUE)</f>
        <v>1</v>
      </c>
      <c r="H573" s="52" t="str">
        <f t="shared" ref="H573:H636" si="19">T66&amp;$V$3</f>
        <v>Row 66 - If ‘TEU type’ is ‘TEU’ then ‘TEU Id’ is required</v>
      </c>
      <c r="I573" s="236" t="s">
        <v>1853</v>
      </c>
      <c r="J573" s="52" t="b">
        <f>IF(OR(INDEX(OHZ_HAZ_UNITTYPE,66,1)="TEU",),INDEX(OHZ_HAZ_TEUID,66,1)&lt;&gt;"",TRUE)</f>
        <v>1</v>
      </c>
      <c r="K573" s="52" t="str">
        <f t="shared" ref="K573:K636" si="20">T66&amp;$V$3</f>
        <v>Row 66 - If ‘TEU type’ is ‘TEU’ then ‘TEU Id’ is required</v>
      </c>
      <c r="L573" s="236" t="s">
        <v>1853</v>
      </c>
    </row>
    <row r="574" spans="7:12">
      <c r="G574" s="250" t="b">
        <f>IF(OR(INDEX(IHZ_HAZ_UNITTYPE,67,1)="TEU",),INDEX(IHZ_HAZ_TEUID,67,1)&lt;&gt;"",TRUE)</f>
        <v>1</v>
      </c>
      <c r="H574" s="52" t="str">
        <f t="shared" si="19"/>
        <v>Row 67 - If ‘TEU type’ is ‘TEU’ then ‘TEU Id’ is required</v>
      </c>
      <c r="I574" s="236" t="s">
        <v>1853</v>
      </c>
      <c r="J574" s="52" t="b">
        <f>IF(OR(INDEX(OHZ_HAZ_UNITTYPE,67,1)="TEU",),INDEX(OHZ_HAZ_TEUID,67,1)&lt;&gt;"",TRUE)</f>
        <v>1</v>
      </c>
      <c r="K574" s="52" t="str">
        <f t="shared" si="20"/>
        <v>Row 67 - If ‘TEU type’ is ‘TEU’ then ‘TEU Id’ is required</v>
      </c>
      <c r="L574" s="236" t="s">
        <v>1853</v>
      </c>
    </row>
    <row r="575" spans="7:12">
      <c r="G575" s="250" t="b">
        <f>IF(OR(INDEX(IHZ_HAZ_UNITTYPE,68,1)="TEU",),INDEX(IHZ_HAZ_TEUID,68,1)&lt;&gt;"",TRUE)</f>
        <v>1</v>
      </c>
      <c r="H575" s="52" t="str">
        <f t="shared" si="19"/>
        <v>Row 68 - If ‘TEU type’ is ‘TEU’ then ‘TEU Id’ is required</v>
      </c>
      <c r="I575" s="236" t="s">
        <v>1853</v>
      </c>
      <c r="J575" s="52" t="b">
        <f>IF(OR(INDEX(OHZ_HAZ_UNITTYPE,68,1)="TEU",),INDEX(OHZ_HAZ_TEUID,68,1)&lt;&gt;"",TRUE)</f>
        <v>1</v>
      </c>
      <c r="K575" s="52" t="str">
        <f t="shared" si="20"/>
        <v>Row 68 - If ‘TEU type’ is ‘TEU’ then ‘TEU Id’ is required</v>
      </c>
      <c r="L575" s="236" t="s">
        <v>1853</v>
      </c>
    </row>
    <row r="576" spans="7:12">
      <c r="G576" s="250" t="b">
        <f>IF(OR(INDEX(IHZ_HAZ_UNITTYPE,69,1)="TEU",),INDEX(IHZ_HAZ_TEUID,69,1)&lt;&gt;"",TRUE)</f>
        <v>1</v>
      </c>
      <c r="H576" s="52" t="str">
        <f t="shared" si="19"/>
        <v>Row 69 - If ‘TEU type’ is ‘TEU’ then ‘TEU Id’ is required</v>
      </c>
      <c r="I576" s="236" t="s">
        <v>1853</v>
      </c>
      <c r="J576" s="52" t="b">
        <f>IF(OR(INDEX(OHZ_HAZ_UNITTYPE,69,1)="TEU",),INDEX(OHZ_HAZ_TEUID,69,1)&lt;&gt;"",TRUE)</f>
        <v>1</v>
      </c>
      <c r="K576" s="52" t="str">
        <f t="shared" si="20"/>
        <v>Row 69 - If ‘TEU type’ is ‘TEU’ then ‘TEU Id’ is required</v>
      </c>
      <c r="L576" s="236" t="s">
        <v>1853</v>
      </c>
    </row>
    <row r="577" spans="7:12">
      <c r="G577" s="250" t="b">
        <f>IF(OR(INDEX(IHZ_HAZ_UNITTYPE,70,1)="TEU",),INDEX(IHZ_HAZ_TEUID,70,1)&lt;&gt;"",TRUE)</f>
        <v>1</v>
      </c>
      <c r="H577" s="52" t="str">
        <f t="shared" si="19"/>
        <v>Row 70 - If ‘TEU type’ is ‘TEU’ then ‘TEU Id’ is required</v>
      </c>
      <c r="I577" s="236" t="s">
        <v>1853</v>
      </c>
      <c r="J577" s="52" t="b">
        <f>IF(OR(INDEX(OHZ_HAZ_UNITTYPE,70,1)="TEU",),INDEX(OHZ_HAZ_TEUID,70,1)&lt;&gt;"",TRUE)</f>
        <v>1</v>
      </c>
      <c r="K577" s="52" t="str">
        <f t="shared" si="20"/>
        <v>Row 70 - If ‘TEU type’ is ‘TEU’ then ‘TEU Id’ is required</v>
      </c>
      <c r="L577" s="236" t="s">
        <v>1853</v>
      </c>
    </row>
    <row r="578" spans="7:12">
      <c r="G578" s="250" t="b">
        <f>IF(OR(INDEX(IHZ_HAZ_UNITTYPE,71,1)="TEU",),INDEX(IHZ_HAZ_TEUID,71,1)&lt;&gt;"",TRUE)</f>
        <v>1</v>
      </c>
      <c r="H578" s="52" t="str">
        <f t="shared" si="19"/>
        <v>Row 71 - If ‘TEU type’ is ‘TEU’ then ‘TEU Id’ is required</v>
      </c>
      <c r="I578" s="236" t="s">
        <v>1853</v>
      </c>
      <c r="J578" s="52" t="b">
        <f>IF(OR(INDEX(OHZ_HAZ_UNITTYPE,71,1)="TEU",),INDEX(OHZ_HAZ_TEUID,71,1)&lt;&gt;"",TRUE)</f>
        <v>1</v>
      </c>
      <c r="K578" s="52" t="str">
        <f t="shared" si="20"/>
        <v>Row 71 - If ‘TEU type’ is ‘TEU’ then ‘TEU Id’ is required</v>
      </c>
      <c r="L578" s="236" t="s">
        <v>1853</v>
      </c>
    </row>
    <row r="579" spans="7:12">
      <c r="G579" s="250" t="b">
        <f>IF(OR(INDEX(IHZ_HAZ_UNITTYPE,72,1)="TEU",),INDEX(IHZ_HAZ_TEUID,72,1)&lt;&gt;"",TRUE)</f>
        <v>1</v>
      </c>
      <c r="H579" s="52" t="str">
        <f t="shared" si="19"/>
        <v>Row 72 - If ‘TEU type’ is ‘TEU’ then ‘TEU Id’ is required</v>
      </c>
      <c r="I579" s="236" t="s">
        <v>1853</v>
      </c>
      <c r="J579" s="52" t="b">
        <f>IF(OR(INDEX(OHZ_HAZ_UNITTYPE,72,1)="TEU",),INDEX(OHZ_HAZ_TEUID,72,1)&lt;&gt;"",TRUE)</f>
        <v>1</v>
      </c>
      <c r="K579" s="52" t="str">
        <f t="shared" si="20"/>
        <v>Row 72 - If ‘TEU type’ is ‘TEU’ then ‘TEU Id’ is required</v>
      </c>
      <c r="L579" s="236" t="s">
        <v>1853</v>
      </c>
    </row>
    <row r="580" spans="7:12">
      <c r="G580" s="250" t="b">
        <f>IF(OR(INDEX(IHZ_HAZ_UNITTYPE,73,1)="TEU",),INDEX(IHZ_HAZ_TEUID,73,1)&lt;&gt;"",TRUE)</f>
        <v>1</v>
      </c>
      <c r="H580" s="52" t="str">
        <f t="shared" si="19"/>
        <v>Row 73 - If ‘TEU type’ is ‘TEU’ then ‘TEU Id’ is required</v>
      </c>
      <c r="I580" s="236" t="s">
        <v>1853</v>
      </c>
      <c r="J580" s="52" t="b">
        <f>IF(OR(INDEX(OHZ_HAZ_UNITTYPE,73,1)="TEU",),INDEX(OHZ_HAZ_TEUID,73,1)&lt;&gt;"",TRUE)</f>
        <v>1</v>
      </c>
      <c r="K580" s="52" t="str">
        <f t="shared" si="20"/>
        <v>Row 73 - If ‘TEU type’ is ‘TEU’ then ‘TEU Id’ is required</v>
      </c>
      <c r="L580" s="236" t="s">
        <v>1853</v>
      </c>
    </row>
    <row r="581" spans="7:12">
      <c r="G581" s="250" t="b">
        <f>IF(OR(INDEX(IHZ_HAZ_UNITTYPE,74,1)="TEU",),INDEX(IHZ_HAZ_TEUID,74,1)&lt;&gt;"",TRUE)</f>
        <v>1</v>
      </c>
      <c r="H581" s="52" t="str">
        <f t="shared" si="19"/>
        <v>Row 74 - If ‘TEU type’ is ‘TEU’ then ‘TEU Id’ is required</v>
      </c>
      <c r="I581" s="236" t="s">
        <v>1853</v>
      </c>
      <c r="J581" s="52" t="b">
        <f>IF(OR(INDEX(OHZ_HAZ_UNITTYPE,74,1)="TEU",),INDEX(OHZ_HAZ_TEUID,74,1)&lt;&gt;"",TRUE)</f>
        <v>1</v>
      </c>
      <c r="K581" s="52" t="str">
        <f t="shared" si="20"/>
        <v>Row 74 - If ‘TEU type’ is ‘TEU’ then ‘TEU Id’ is required</v>
      </c>
      <c r="L581" s="236" t="s">
        <v>1853</v>
      </c>
    </row>
    <row r="582" spans="7:12">
      <c r="G582" s="250" t="b">
        <f>IF(OR(INDEX(IHZ_HAZ_UNITTYPE,75,1)="TEU",),INDEX(IHZ_HAZ_TEUID,75,1)&lt;&gt;"",TRUE)</f>
        <v>1</v>
      </c>
      <c r="H582" s="52" t="str">
        <f t="shared" si="19"/>
        <v>Row 75 - If ‘TEU type’ is ‘TEU’ then ‘TEU Id’ is required</v>
      </c>
      <c r="I582" s="236" t="s">
        <v>1853</v>
      </c>
      <c r="J582" s="52" t="b">
        <f>IF(OR(INDEX(OHZ_HAZ_UNITTYPE,75,1)="TEU",),INDEX(OHZ_HAZ_TEUID,75,1)&lt;&gt;"",TRUE)</f>
        <v>1</v>
      </c>
      <c r="K582" s="52" t="str">
        <f t="shared" si="20"/>
        <v>Row 75 - If ‘TEU type’ is ‘TEU’ then ‘TEU Id’ is required</v>
      </c>
      <c r="L582" s="236" t="s">
        <v>1853</v>
      </c>
    </row>
    <row r="583" spans="7:12">
      <c r="G583" s="250" t="b">
        <f>IF(OR(INDEX(IHZ_HAZ_UNITTYPE,76,1)="TEU",),INDEX(IHZ_HAZ_TEUID,76,1)&lt;&gt;"",TRUE)</f>
        <v>1</v>
      </c>
      <c r="H583" s="52" t="str">
        <f t="shared" si="19"/>
        <v>Row 76 - If ‘TEU type’ is ‘TEU’ then ‘TEU Id’ is required</v>
      </c>
      <c r="I583" s="236" t="s">
        <v>1853</v>
      </c>
      <c r="J583" s="52" t="b">
        <f>IF(OR(INDEX(OHZ_HAZ_UNITTYPE,76,1)="TEU",),INDEX(OHZ_HAZ_TEUID,76,1)&lt;&gt;"",TRUE)</f>
        <v>1</v>
      </c>
      <c r="K583" s="52" t="str">
        <f t="shared" si="20"/>
        <v>Row 76 - If ‘TEU type’ is ‘TEU’ then ‘TEU Id’ is required</v>
      </c>
      <c r="L583" s="236" t="s">
        <v>1853</v>
      </c>
    </row>
    <row r="584" spans="7:12">
      <c r="G584" s="250" t="b">
        <f>IF(OR(INDEX(IHZ_HAZ_UNITTYPE,77,1)="TEU",),INDEX(IHZ_HAZ_TEUID,77,1)&lt;&gt;"",TRUE)</f>
        <v>1</v>
      </c>
      <c r="H584" s="52" t="str">
        <f t="shared" si="19"/>
        <v>Row 77 - If ‘TEU type’ is ‘TEU’ then ‘TEU Id’ is required</v>
      </c>
      <c r="I584" s="236" t="s">
        <v>1853</v>
      </c>
      <c r="J584" s="52" t="b">
        <f>IF(OR(INDEX(OHZ_HAZ_UNITTYPE,77,1)="TEU",),INDEX(OHZ_HAZ_TEUID,77,1)&lt;&gt;"",TRUE)</f>
        <v>1</v>
      </c>
      <c r="K584" s="52" t="str">
        <f t="shared" si="20"/>
        <v>Row 77 - If ‘TEU type’ is ‘TEU’ then ‘TEU Id’ is required</v>
      </c>
      <c r="L584" s="236" t="s">
        <v>1853</v>
      </c>
    </row>
    <row r="585" spans="7:12">
      <c r="G585" s="250" t="b">
        <f>IF(OR(INDEX(IHZ_HAZ_UNITTYPE,78,1)="TEU",),INDEX(IHZ_HAZ_TEUID,78,1)&lt;&gt;"",TRUE)</f>
        <v>1</v>
      </c>
      <c r="H585" s="52" t="str">
        <f t="shared" si="19"/>
        <v>Row 78 - If ‘TEU type’ is ‘TEU’ then ‘TEU Id’ is required</v>
      </c>
      <c r="I585" s="236" t="s">
        <v>1853</v>
      </c>
      <c r="J585" s="52" t="b">
        <f>IF(OR(INDEX(OHZ_HAZ_UNITTYPE,78,1)="TEU",),INDEX(OHZ_HAZ_TEUID,78,1)&lt;&gt;"",TRUE)</f>
        <v>1</v>
      </c>
      <c r="K585" s="52" t="str">
        <f t="shared" si="20"/>
        <v>Row 78 - If ‘TEU type’ is ‘TEU’ then ‘TEU Id’ is required</v>
      </c>
      <c r="L585" s="236" t="s">
        <v>1853</v>
      </c>
    </row>
    <row r="586" spans="7:12">
      <c r="G586" s="250" t="b">
        <f>IF(OR(INDEX(IHZ_HAZ_UNITTYPE,79,1)="TEU",),INDEX(IHZ_HAZ_TEUID,79,1)&lt;&gt;"",TRUE)</f>
        <v>1</v>
      </c>
      <c r="H586" s="52" t="str">
        <f t="shared" si="19"/>
        <v>Row 79 - If ‘TEU type’ is ‘TEU’ then ‘TEU Id’ is required</v>
      </c>
      <c r="I586" s="236" t="s">
        <v>1853</v>
      </c>
      <c r="J586" s="52" t="b">
        <f>IF(OR(INDEX(OHZ_HAZ_UNITTYPE,79,1)="TEU",),INDEX(OHZ_HAZ_TEUID,79,1)&lt;&gt;"",TRUE)</f>
        <v>1</v>
      </c>
      <c r="K586" s="52" t="str">
        <f t="shared" si="20"/>
        <v>Row 79 - If ‘TEU type’ is ‘TEU’ then ‘TEU Id’ is required</v>
      </c>
      <c r="L586" s="236" t="s">
        <v>1853</v>
      </c>
    </row>
    <row r="587" spans="7:12">
      <c r="G587" s="250" t="b">
        <f>IF(OR(INDEX(IHZ_HAZ_UNITTYPE,80,1)="TEU",),INDEX(IHZ_HAZ_TEUID,80,1)&lt;&gt;"",TRUE)</f>
        <v>1</v>
      </c>
      <c r="H587" s="52" t="str">
        <f t="shared" si="19"/>
        <v>Row 80 - If ‘TEU type’ is ‘TEU’ then ‘TEU Id’ is required</v>
      </c>
      <c r="I587" s="236" t="s">
        <v>1853</v>
      </c>
      <c r="J587" s="52" t="b">
        <f>IF(OR(INDEX(OHZ_HAZ_UNITTYPE,80,1)="TEU",),INDEX(OHZ_HAZ_TEUID,80,1)&lt;&gt;"",TRUE)</f>
        <v>1</v>
      </c>
      <c r="K587" s="52" t="str">
        <f t="shared" si="20"/>
        <v>Row 80 - If ‘TEU type’ is ‘TEU’ then ‘TEU Id’ is required</v>
      </c>
      <c r="L587" s="236" t="s">
        <v>1853</v>
      </c>
    </row>
    <row r="588" spans="7:12">
      <c r="G588" s="250" t="b">
        <f>IF(OR(INDEX(IHZ_HAZ_UNITTYPE,81,1)="TEU",),INDEX(IHZ_HAZ_TEUID,81,1)&lt;&gt;"",TRUE)</f>
        <v>1</v>
      </c>
      <c r="H588" s="52" t="str">
        <f t="shared" si="19"/>
        <v>Row 81 - If ‘TEU type’ is ‘TEU’ then ‘TEU Id’ is required</v>
      </c>
      <c r="I588" s="236" t="s">
        <v>1853</v>
      </c>
      <c r="J588" s="52" t="b">
        <f>IF(OR(INDEX(OHZ_HAZ_UNITTYPE,81,1)="TEU",),INDEX(OHZ_HAZ_TEUID,81,1)&lt;&gt;"",TRUE)</f>
        <v>1</v>
      </c>
      <c r="K588" s="52" t="str">
        <f t="shared" si="20"/>
        <v>Row 81 - If ‘TEU type’ is ‘TEU’ then ‘TEU Id’ is required</v>
      </c>
      <c r="L588" s="236" t="s">
        <v>1853</v>
      </c>
    </row>
    <row r="589" spans="7:12">
      <c r="G589" s="250" t="b">
        <f>IF(OR(INDEX(IHZ_HAZ_UNITTYPE,82,1)="TEU",),INDEX(IHZ_HAZ_TEUID,82,1)&lt;&gt;"",TRUE)</f>
        <v>1</v>
      </c>
      <c r="H589" s="52" t="str">
        <f t="shared" si="19"/>
        <v>Row 82 - If ‘TEU type’ is ‘TEU’ then ‘TEU Id’ is required</v>
      </c>
      <c r="I589" s="236" t="s">
        <v>1853</v>
      </c>
      <c r="J589" s="52" t="b">
        <f>IF(OR(INDEX(OHZ_HAZ_UNITTYPE,82,1)="TEU",),INDEX(OHZ_HAZ_TEUID,82,1)&lt;&gt;"",TRUE)</f>
        <v>1</v>
      </c>
      <c r="K589" s="52" t="str">
        <f t="shared" si="20"/>
        <v>Row 82 - If ‘TEU type’ is ‘TEU’ then ‘TEU Id’ is required</v>
      </c>
      <c r="L589" s="236" t="s">
        <v>1853</v>
      </c>
    </row>
    <row r="590" spans="7:12">
      <c r="G590" s="250" t="b">
        <f>IF(OR(INDEX(IHZ_HAZ_UNITTYPE,83,1)="TEU",),INDEX(IHZ_HAZ_TEUID,83,1)&lt;&gt;"",TRUE)</f>
        <v>1</v>
      </c>
      <c r="H590" s="52" t="str">
        <f t="shared" si="19"/>
        <v>Row 83 - If ‘TEU type’ is ‘TEU’ then ‘TEU Id’ is required</v>
      </c>
      <c r="I590" s="236" t="s">
        <v>1853</v>
      </c>
      <c r="J590" s="52" t="b">
        <f>IF(OR(INDEX(OHZ_HAZ_UNITTYPE,83,1)="TEU",),INDEX(OHZ_HAZ_TEUID,83,1)&lt;&gt;"",TRUE)</f>
        <v>1</v>
      </c>
      <c r="K590" s="52" t="str">
        <f t="shared" si="20"/>
        <v>Row 83 - If ‘TEU type’ is ‘TEU’ then ‘TEU Id’ is required</v>
      </c>
      <c r="L590" s="236" t="s">
        <v>1853</v>
      </c>
    </row>
    <row r="591" spans="7:12">
      <c r="G591" s="250" t="b">
        <f>IF(OR(INDEX(IHZ_HAZ_UNITTYPE,84,1)="TEU",),INDEX(IHZ_HAZ_TEUID,84,1)&lt;&gt;"",TRUE)</f>
        <v>1</v>
      </c>
      <c r="H591" s="52" t="str">
        <f t="shared" si="19"/>
        <v>Row 84 - If ‘TEU type’ is ‘TEU’ then ‘TEU Id’ is required</v>
      </c>
      <c r="I591" s="236" t="s">
        <v>1853</v>
      </c>
      <c r="J591" s="52" t="b">
        <f>IF(OR(INDEX(OHZ_HAZ_UNITTYPE,84,1)="TEU",),INDEX(OHZ_HAZ_TEUID,84,1)&lt;&gt;"",TRUE)</f>
        <v>1</v>
      </c>
      <c r="K591" s="52" t="str">
        <f t="shared" si="20"/>
        <v>Row 84 - If ‘TEU type’ is ‘TEU’ then ‘TEU Id’ is required</v>
      </c>
      <c r="L591" s="236" t="s">
        <v>1853</v>
      </c>
    </row>
    <row r="592" spans="7:12">
      <c r="G592" s="250" t="b">
        <f>IF(OR(INDEX(IHZ_HAZ_UNITTYPE,85,1)="TEU",),INDEX(IHZ_HAZ_TEUID,85,1)&lt;&gt;"",TRUE)</f>
        <v>1</v>
      </c>
      <c r="H592" s="52" t="str">
        <f t="shared" si="19"/>
        <v>Row 85 - If ‘TEU type’ is ‘TEU’ then ‘TEU Id’ is required</v>
      </c>
      <c r="I592" s="236" t="s">
        <v>1853</v>
      </c>
      <c r="J592" s="52" t="b">
        <f>IF(OR(INDEX(OHZ_HAZ_UNITTYPE,85,1)="TEU",),INDEX(OHZ_HAZ_TEUID,85,1)&lt;&gt;"",TRUE)</f>
        <v>1</v>
      </c>
      <c r="K592" s="52" t="str">
        <f t="shared" si="20"/>
        <v>Row 85 - If ‘TEU type’ is ‘TEU’ then ‘TEU Id’ is required</v>
      </c>
      <c r="L592" s="236" t="s">
        <v>1853</v>
      </c>
    </row>
    <row r="593" spans="7:12">
      <c r="G593" s="250" t="b">
        <f>IF(OR(INDEX(IHZ_HAZ_UNITTYPE,86,1)="TEU",),INDEX(IHZ_HAZ_TEUID,86,1)&lt;&gt;"",TRUE)</f>
        <v>1</v>
      </c>
      <c r="H593" s="52" t="str">
        <f t="shared" si="19"/>
        <v>Row 86 - If ‘TEU type’ is ‘TEU’ then ‘TEU Id’ is required</v>
      </c>
      <c r="I593" s="236" t="s">
        <v>1853</v>
      </c>
      <c r="J593" s="52" t="b">
        <f>IF(OR(INDEX(OHZ_HAZ_UNITTYPE,86,1)="TEU",),INDEX(OHZ_HAZ_TEUID,86,1)&lt;&gt;"",TRUE)</f>
        <v>1</v>
      </c>
      <c r="K593" s="52" t="str">
        <f t="shared" si="20"/>
        <v>Row 86 - If ‘TEU type’ is ‘TEU’ then ‘TEU Id’ is required</v>
      </c>
      <c r="L593" s="236" t="s">
        <v>1853</v>
      </c>
    </row>
    <row r="594" spans="7:12">
      <c r="G594" s="250" t="b">
        <f>IF(OR(INDEX(IHZ_HAZ_UNITTYPE,87,1)="TEU",),INDEX(IHZ_HAZ_TEUID,87,1)&lt;&gt;"",TRUE)</f>
        <v>1</v>
      </c>
      <c r="H594" s="52" t="str">
        <f t="shared" si="19"/>
        <v>Row 87 - If ‘TEU type’ is ‘TEU’ then ‘TEU Id’ is required</v>
      </c>
      <c r="I594" s="236" t="s">
        <v>1853</v>
      </c>
      <c r="J594" s="52" t="b">
        <f>IF(OR(INDEX(OHZ_HAZ_UNITTYPE,87,1)="TEU",),INDEX(OHZ_HAZ_TEUID,87,1)&lt;&gt;"",TRUE)</f>
        <v>1</v>
      </c>
      <c r="K594" s="52" t="str">
        <f t="shared" si="20"/>
        <v>Row 87 - If ‘TEU type’ is ‘TEU’ then ‘TEU Id’ is required</v>
      </c>
      <c r="L594" s="236" t="s">
        <v>1853</v>
      </c>
    </row>
    <row r="595" spans="7:12">
      <c r="G595" s="250" t="b">
        <f>IF(OR(INDEX(IHZ_HAZ_UNITTYPE,88,1)="TEU",),INDEX(IHZ_HAZ_TEUID,88,1)&lt;&gt;"",TRUE)</f>
        <v>1</v>
      </c>
      <c r="H595" s="52" t="str">
        <f t="shared" si="19"/>
        <v>Row 88 - If ‘TEU type’ is ‘TEU’ then ‘TEU Id’ is required</v>
      </c>
      <c r="I595" s="236" t="s">
        <v>1853</v>
      </c>
      <c r="J595" s="52" t="b">
        <f>IF(OR(INDEX(OHZ_HAZ_UNITTYPE,88,1)="TEU",),INDEX(OHZ_HAZ_TEUID,88,1)&lt;&gt;"",TRUE)</f>
        <v>1</v>
      </c>
      <c r="K595" s="52" t="str">
        <f t="shared" si="20"/>
        <v>Row 88 - If ‘TEU type’ is ‘TEU’ then ‘TEU Id’ is required</v>
      </c>
      <c r="L595" s="236" t="s">
        <v>1853</v>
      </c>
    </row>
    <row r="596" spans="7:12">
      <c r="G596" s="250" t="b">
        <f>IF(OR(INDEX(IHZ_HAZ_UNITTYPE,89,1)="TEU",),INDEX(IHZ_HAZ_TEUID,89,1)&lt;&gt;"",TRUE)</f>
        <v>1</v>
      </c>
      <c r="H596" s="52" t="str">
        <f t="shared" si="19"/>
        <v>Row 89 - If ‘TEU type’ is ‘TEU’ then ‘TEU Id’ is required</v>
      </c>
      <c r="I596" s="236" t="s">
        <v>1853</v>
      </c>
      <c r="J596" s="52" t="b">
        <f>IF(OR(INDEX(OHZ_HAZ_UNITTYPE,89,1)="TEU",),INDEX(OHZ_HAZ_TEUID,89,1)&lt;&gt;"",TRUE)</f>
        <v>1</v>
      </c>
      <c r="K596" s="52" t="str">
        <f t="shared" si="20"/>
        <v>Row 89 - If ‘TEU type’ is ‘TEU’ then ‘TEU Id’ is required</v>
      </c>
      <c r="L596" s="236" t="s">
        <v>1853</v>
      </c>
    </row>
    <row r="597" spans="7:12">
      <c r="G597" s="250" t="b">
        <f>IF(OR(INDEX(IHZ_HAZ_UNITTYPE,90,1)="TEU",),INDEX(IHZ_HAZ_TEUID,90,1)&lt;&gt;"",TRUE)</f>
        <v>1</v>
      </c>
      <c r="H597" s="52" t="str">
        <f t="shared" si="19"/>
        <v>Row 90 - If ‘TEU type’ is ‘TEU’ then ‘TEU Id’ is required</v>
      </c>
      <c r="I597" s="236" t="s">
        <v>1853</v>
      </c>
      <c r="J597" s="52" t="b">
        <f>IF(OR(INDEX(OHZ_HAZ_UNITTYPE,90,1)="TEU",),INDEX(OHZ_HAZ_TEUID,90,1)&lt;&gt;"",TRUE)</f>
        <v>1</v>
      </c>
      <c r="K597" s="52" t="str">
        <f t="shared" si="20"/>
        <v>Row 90 - If ‘TEU type’ is ‘TEU’ then ‘TEU Id’ is required</v>
      </c>
      <c r="L597" s="236" t="s">
        <v>1853</v>
      </c>
    </row>
    <row r="598" spans="7:12">
      <c r="G598" s="250" t="b">
        <f>IF(OR(INDEX(IHZ_HAZ_UNITTYPE,91,1)="TEU",),INDEX(IHZ_HAZ_TEUID,91,1)&lt;&gt;"",TRUE)</f>
        <v>1</v>
      </c>
      <c r="H598" s="52" t="str">
        <f t="shared" si="19"/>
        <v>Row 91 - If ‘TEU type’ is ‘TEU’ then ‘TEU Id’ is required</v>
      </c>
      <c r="I598" s="236" t="s">
        <v>1853</v>
      </c>
      <c r="J598" s="52" t="b">
        <f>IF(OR(INDEX(OHZ_HAZ_UNITTYPE,91,1)="TEU",),INDEX(OHZ_HAZ_TEUID,91,1)&lt;&gt;"",TRUE)</f>
        <v>1</v>
      </c>
      <c r="K598" s="52" t="str">
        <f t="shared" si="20"/>
        <v>Row 91 - If ‘TEU type’ is ‘TEU’ then ‘TEU Id’ is required</v>
      </c>
      <c r="L598" s="236" t="s">
        <v>1853</v>
      </c>
    </row>
    <row r="599" spans="7:12">
      <c r="G599" s="250" t="b">
        <f>IF(OR(INDEX(IHZ_HAZ_UNITTYPE,92,1)="TEU",),INDEX(IHZ_HAZ_TEUID,92,1)&lt;&gt;"",TRUE)</f>
        <v>1</v>
      </c>
      <c r="H599" s="52" t="str">
        <f t="shared" si="19"/>
        <v>Row 92 - If ‘TEU type’ is ‘TEU’ then ‘TEU Id’ is required</v>
      </c>
      <c r="I599" s="236" t="s">
        <v>1853</v>
      </c>
      <c r="J599" s="52" t="b">
        <f>IF(OR(INDEX(OHZ_HAZ_UNITTYPE,92,1)="TEU",),INDEX(OHZ_HAZ_TEUID,92,1)&lt;&gt;"",TRUE)</f>
        <v>1</v>
      </c>
      <c r="K599" s="52" t="str">
        <f t="shared" si="20"/>
        <v>Row 92 - If ‘TEU type’ is ‘TEU’ then ‘TEU Id’ is required</v>
      </c>
      <c r="L599" s="236" t="s">
        <v>1853</v>
      </c>
    </row>
    <row r="600" spans="7:12">
      <c r="G600" s="250" t="b">
        <f>IF(OR(INDEX(IHZ_HAZ_UNITTYPE,93,1)="TEU",),INDEX(IHZ_HAZ_TEUID,93,1)&lt;&gt;"",TRUE)</f>
        <v>1</v>
      </c>
      <c r="H600" s="52" t="str">
        <f t="shared" si="19"/>
        <v>Row 93 - If ‘TEU type’ is ‘TEU’ then ‘TEU Id’ is required</v>
      </c>
      <c r="I600" s="236" t="s">
        <v>1853</v>
      </c>
      <c r="J600" s="52" t="b">
        <f>IF(OR(INDEX(OHZ_HAZ_UNITTYPE,93,1)="TEU",),INDEX(OHZ_HAZ_TEUID,93,1)&lt;&gt;"",TRUE)</f>
        <v>1</v>
      </c>
      <c r="K600" s="52" t="str">
        <f t="shared" si="20"/>
        <v>Row 93 - If ‘TEU type’ is ‘TEU’ then ‘TEU Id’ is required</v>
      </c>
      <c r="L600" s="236" t="s">
        <v>1853</v>
      </c>
    </row>
    <row r="601" spans="7:12">
      <c r="G601" s="250" t="b">
        <f>IF(OR(INDEX(IHZ_HAZ_UNITTYPE,94,1)="TEU",),INDEX(IHZ_HAZ_TEUID,94,1)&lt;&gt;"",TRUE)</f>
        <v>1</v>
      </c>
      <c r="H601" s="52" t="str">
        <f t="shared" si="19"/>
        <v>Row 94 - If ‘TEU type’ is ‘TEU’ then ‘TEU Id’ is required</v>
      </c>
      <c r="I601" s="236" t="s">
        <v>1853</v>
      </c>
      <c r="J601" s="52" t="b">
        <f>IF(OR(INDEX(OHZ_HAZ_UNITTYPE,94,1)="TEU",),INDEX(OHZ_HAZ_TEUID,94,1)&lt;&gt;"",TRUE)</f>
        <v>1</v>
      </c>
      <c r="K601" s="52" t="str">
        <f t="shared" si="20"/>
        <v>Row 94 - If ‘TEU type’ is ‘TEU’ then ‘TEU Id’ is required</v>
      </c>
      <c r="L601" s="236" t="s">
        <v>1853</v>
      </c>
    </row>
    <row r="602" spans="7:12">
      <c r="G602" s="250" t="b">
        <f>IF(OR(INDEX(IHZ_HAZ_UNITTYPE,95,1)="TEU",),INDEX(IHZ_HAZ_TEUID,95,1)&lt;&gt;"",TRUE)</f>
        <v>1</v>
      </c>
      <c r="H602" s="52" t="str">
        <f t="shared" si="19"/>
        <v>Row 95 - If ‘TEU type’ is ‘TEU’ then ‘TEU Id’ is required</v>
      </c>
      <c r="I602" s="236" t="s">
        <v>1853</v>
      </c>
      <c r="J602" s="52" t="b">
        <f>IF(OR(INDEX(OHZ_HAZ_UNITTYPE,95,1)="TEU",),INDEX(OHZ_HAZ_TEUID,95,1)&lt;&gt;"",TRUE)</f>
        <v>1</v>
      </c>
      <c r="K602" s="52" t="str">
        <f t="shared" si="20"/>
        <v>Row 95 - If ‘TEU type’ is ‘TEU’ then ‘TEU Id’ is required</v>
      </c>
      <c r="L602" s="236" t="s">
        <v>1853</v>
      </c>
    </row>
    <row r="603" spans="7:12">
      <c r="G603" s="250" t="b">
        <f>IF(OR(INDEX(IHZ_HAZ_UNITTYPE,96,1)="TEU",),INDEX(IHZ_HAZ_TEUID,96,1)&lt;&gt;"",TRUE)</f>
        <v>1</v>
      </c>
      <c r="H603" s="52" t="str">
        <f t="shared" si="19"/>
        <v>Row 96 - If ‘TEU type’ is ‘TEU’ then ‘TEU Id’ is required</v>
      </c>
      <c r="I603" s="236" t="s">
        <v>1853</v>
      </c>
      <c r="J603" s="52" t="b">
        <f>IF(OR(INDEX(OHZ_HAZ_UNITTYPE,96,1)="TEU",),INDEX(OHZ_HAZ_TEUID,96,1)&lt;&gt;"",TRUE)</f>
        <v>1</v>
      </c>
      <c r="K603" s="52" t="str">
        <f t="shared" si="20"/>
        <v>Row 96 - If ‘TEU type’ is ‘TEU’ then ‘TEU Id’ is required</v>
      </c>
      <c r="L603" s="236" t="s">
        <v>1853</v>
      </c>
    </row>
    <row r="604" spans="7:12">
      <c r="G604" s="250" t="b">
        <f>IF(OR(INDEX(IHZ_HAZ_UNITTYPE,97,1)="TEU",),INDEX(IHZ_HAZ_TEUID,97,1)&lt;&gt;"",TRUE)</f>
        <v>1</v>
      </c>
      <c r="H604" s="52" t="str">
        <f t="shared" si="19"/>
        <v>Row 97 - If ‘TEU type’ is ‘TEU’ then ‘TEU Id’ is required</v>
      </c>
      <c r="I604" s="236" t="s">
        <v>1853</v>
      </c>
      <c r="J604" s="52" t="b">
        <f>IF(OR(INDEX(OHZ_HAZ_UNITTYPE,97,1)="TEU",),INDEX(OHZ_HAZ_TEUID,97,1)&lt;&gt;"",TRUE)</f>
        <v>1</v>
      </c>
      <c r="K604" s="52" t="str">
        <f t="shared" si="20"/>
        <v>Row 97 - If ‘TEU type’ is ‘TEU’ then ‘TEU Id’ is required</v>
      </c>
      <c r="L604" s="236" t="s">
        <v>1853</v>
      </c>
    </row>
    <row r="605" spans="7:12">
      <c r="G605" s="250" t="b">
        <f>IF(OR(INDEX(IHZ_HAZ_UNITTYPE,98,1)="TEU",),INDEX(IHZ_HAZ_TEUID,98,1)&lt;&gt;"",TRUE)</f>
        <v>1</v>
      </c>
      <c r="H605" s="52" t="str">
        <f t="shared" si="19"/>
        <v>Row 98 - If ‘TEU type’ is ‘TEU’ then ‘TEU Id’ is required</v>
      </c>
      <c r="I605" s="236" t="s">
        <v>1853</v>
      </c>
      <c r="J605" s="52" t="b">
        <f>IF(OR(INDEX(OHZ_HAZ_UNITTYPE,98,1)="TEU",),INDEX(OHZ_HAZ_TEUID,98,1)&lt;&gt;"",TRUE)</f>
        <v>1</v>
      </c>
      <c r="K605" s="52" t="str">
        <f t="shared" si="20"/>
        <v>Row 98 - If ‘TEU type’ is ‘TEU’ then ‘TEU Id’ is required</v>
      </c>
      <c r="L605" s="236" t="s">
        <v>1853</v>
      </c>
    </row>
    <row r="606" spans="7:12">
      <c r="G606" s="250" t="b">
        <f>IF(OR(INDEX(IHZ_HAZ_UNITTYPE,99,1)="TEU",),INDEX(IHZ_HAZ_TEUID,99,1)&lt;&gt;"",TRUE)</f>
        <v>1</v>
      </c>
      <c r="H606" s="52" t="str">
        <f t="shared" si="19"/>
        <v>Row 99 - If ‘TEU type’ is ‘TEU’ then ‘TEU Id’ is required</v>
      </c>
      <c r="I606" s="236" t="s">
        <v>1853</v>
      </c>
      <c r="J606" s="52" t="b">
        <f>IF(OR(INDEX(OHZ_HAZ_UNITTYPE,99,1)="TEU",),INDEX(OHZ_HAZ_TEUID,99,1)&lt;&gt;"",TRUE)</f>
        <v>1</v>
      </c>
      <c r="K606" s="52" t="str">
        <f t="shared" si="20"/>
        <v>Row 99 - If ‘TEU type’ is ‘TEU’ then ‘TEU Id’ is required</v>
      </c>
      <c r="L606" s="236" t="s">
        <v>1853</v>
      </c>
    </row>
    <row r="607" spans="7:12">
      <c r="G607" s="250" t="b">
        <f>IF(OR(INDEX(IHZ_HAZ_UNITTYPE,100,1)="TEU",),INDEX(IHZ_HAZ_TEUID,100,1)&lt;&gt;"",TRUE)</f>
        <v>1</v>
      </c>
      <c r="H607" s="52" t="str">
        <f t="shared" si="19"/>
        <v>Row 100 - If ‘TEU type’ is ‘TEU’ then ‘TEU Id’ is required</v>
      </c>
      <c r="I607" s="236" t="s">
        <v>1853</v>
      </c>
      <c r="J607" s="52" t="b">
        <f>IF(OR(INDEX(OHZ_HAZ_UNITTYPE,100,1)="TEU",),INDEX(OHZ_HAZ_TEUID,100,1)&lt;&gt;"",TRUE)</f>
        <v>1</v>
      </c>
      <c r="K607" s="52" t="str">
        <f t="shared" si="20"/>
        <v>Row 100 - If ‘TEU type’ is ‘TEU’ then ‘TEU Id’ is required</v>
      </c>
      <c r="L607" s="236" t="s">
        <v>1853</v>
      </c>
    </row>
    <row r="608" spans="7:12">
      <c r="G608" s="250" t="b">
        <f>IF(OR(INDEX(IHZ_HAZ_UNITTYPE,101,1)="TEU",),INDEX(IHZ_HAZ_TEUID,101,1)&lt;&gt;"",TRUE)</f>
        <v>1</v>
      </c>
      <c r="H608" s="52" t="str">
        <f t="shared" si="19"/>
        <v>Row 101 - If ‘TEU type’ is ‘TEU’ then ‘TEU Id’ is required</v>
      </c>
      <c r="I608" s="236" t="s">
        <v>1853</v>
      </c>
      <c r="J608" s="52" t="b">
        <f>IF(OR(INDEX(OHZ_HAZ_UNITTYPE,101,1)="TEU",),INDEX(OHZ_HAZ_TEUID,101,1)&lt;&gt;"",TRUE)</f>
        <v>1</v>
      </c>
      <c r="K608" s="52" t="str">
        <f t="shared" si="20"/>
        <v>Row 101 - If ‘TEU type’ is ‘TEU’ then ‘TEU Id’ is required</v>
      </c>
      <c r="L608" s="236" t="s">
        <v>1853</v>
      </c>
    </row>
    <row r="609" spans="7:12">
      <c r="G609" s="250" t="b">
        <f>IF(OR(INDEX(IHZ_HAZ_UNITTYPE,102,1)="TEU",),INDEX(IHZ_HAZ_TEUID,102,1)&lt;&gt;"",TRUE)</f>
        <v>1</v>
      </c>
      <c r="H609" s="52" t="str">
        <f t="shared" si="19"/>
        <v>Row 102 - If ‘TEU type’ is ‘TEU’ then ‘TEU Id’ is required</v>
      </c>
      <c r="I609" s="236" t="s">
        <v>1853</v>
      </c>
      <c r="J609" s="52" t="b">
        <f>IF(OR(INDEX(OHZ_HAZ_UNITTYPE,102,1)="TEU",),INDEX(OHZ_HAZ_TEUID,102,1)&lt;&gt;"",TRUE)</f>
        <v>1</v>
      </c>
      <c r="K609" s="52" t="str">
        <f t="shared" si="20"/>
        <v>Row 102 - If ‘TEU type’ is ‘TEU’ then ‘TEU Id’ is required</v>
      </c>
      <c r="L609" s="236" t="s">
        <v>1853</v>
      </c>
    </row>
    <row r="610" spans="7:12">
      <c r="G610" s="250" t="b">
        <f>IF(OR(INDEX(IHZ_HAZ_UNITTYPE,103,1)="TEU",),INDEX(IHZ_HAZ_TEUID,103,1)&lt;&gt;"",TRUE)</f>
        <v>1</v>
      </c>
      <c r="H610" s="52" t="str">
        <f t="shared" si="19"/>
        <v>Row 103 - If ‘TEU type’ is ‘TEU’ then ‘TEU Id’ is required</v>
      </c>
      <c r="I610" s="236" t="s">
        <v>1853</v>
      </c>
      <c r="J610" s="52" t="b">
        <f>IF(OR(INDEX(OHZ_HAZ_UNITTYPE,103,1)="TEU",),INDEX(OHZ_HAZ_TEUID,103,1)&lt;&gt;"",TRUE)</f>
        <v>1</v>
      </c>
      <c r="K610" s="52" t="str">
        <f t="shared" si="20"/>
        <v>Row 103 - If ‘TEU type’ is ‘TEU’ then ‘TEU Id’ is required</v>
      </c>
      <c r="L610" s="236" t="s">
        <v>1853</v>
      </c>
    </row>
    <row r="611" spans="7:12">
      <c r="G611" s="250" t="b">
        <f>IF(OR(INDEX(IHZ_HAZ_UNITTYPE,104,1)="TEU",),INDEX(IHZ_HAZ_TEUID,104,1)&lt;&gt;"",TRUE)</f>
        <v>1</v>
      </c>
      <c r="H611" s="52" t="str">
        <f t="shared" si="19"/>
        <v>Row 104 - If ‘TEU type’ is ‘TEU’ then ‘TEU Id’ is required</v>
      </c>
      <c r="I611" s="236" t="s">
        <v>1853</v>
      </c>
      <c r="J611" s="52" t="b">
        <f>IF(OR(INDEX(OHZ_HAZ_UNITTYPE,104,1)="TEU",),INDEX(OHZ_HAZ_TEUID,104,1)&lt;&gt;"",TRUE)</f>
        <v>1</v>
      </c>
      <c r="K611" s="52" t="str">
        <f t="shared" si="20"/>
        <v>Row 104 - If ‘TEU type’ is ‘TEU’ then ‘TEU Id’ is required</v>
      </c>
      <c r="L611" s="236" t="s">
        <v>1853</v>
      </c>
    </row>
    <row r="612" spans="7:12">
      <c r="G612" s="250" t="b">
        <f>IF(OR(INDEX(IHZ_HAZ_UNITTYPE,105,1)="TEU",),INDEX(IHZ_HAZ_TEUID,105,1)&lt;&gt;"",TRUE)</f>
        <v>1</v>
      </c>
      <c r="H612" s="52" t="str">
        <f t="shared" si="19"/>
        <v>Row 105 - If ‘TEU type’ is ‘TEU’ then ‘TEU Id’ is required</v>
      </c>
      <c r="I612" s="236" t="s">
        <v>1853</v>
      </c>
      <c r="J612" s="52" t="b">
        <f>IF(OR(INDEX(OHZ_HAZ_UNITTYPE,105,1)="TEU",),INDEX(OHZ_HAZ_TEUID,105,1)&lt;&gt;"",TRUE)</f>
        <v>1</v>
      </c>
      <c r="K612" s="52" t="str">
        <f t="shared" si="20"/>
        <v>Row 105 - If ‘TEU type’ is ‘TEU’ then ‘TEU Id’ is required</v>
      </c>
      <c r="L612" s="236" t="s">
        <v>1853</v>
      </c>
    </row>
    <row r="613" spans="7:12">
      <c r="G613" s="250" t="b">
        <f>IF(OR(INDEX(IHZ_HAZ_UNITTYPE,106,1)="TEU",),INDEX(IHZ_HAZ_TEUID,106,1)&lt;&gt;"",TRUE)</f>
        <v>1</v>
      </c>
      <c r="H613" s="52" t="str">
        <f t="shared" si="19"/>
        <v>Row 106 - If ‘TEU type’ is ‘TEU’ then ‘TEU Id’ is required</v>
      </c>
      <c r="I613" s="236" t="s">
        <v>1853</v>
      </c>
      <c r="J613" s="52" t="b">
        <f>IF(OR(INDEX(OHZ_HAZ_UNITTYPE,106,1)="TEU",),INDEX(OHZ_HAZ_TEUID,106,1)&lt;&gt;"",TRUE)</f>
        <v>1</v>
      </c>
      <c r="K613" s="52" t="str">
        <f t="shared" si="20"/>
        <v>Row 106 - If ‘TEU type’ is ‘TEU’ then ‘TEU Id’ is required</v>
      </c>
      <c r="L613" s="236" t="s">
        <v>1853</v>
      </c>
    </row>
    <row r="614" spans="7:12">
      <c r="G614" s="250" t="b">
        <f>IF(OR(INDEX(IHZ_HAZ_UNITTYPE,107,1)="TEU",),INDEX(IHZ_HAZ_TEUID,107,1)&lt;&gt;"",TRUE)</f>
        <v>1</v>
      </c>
      <c r="H614" s="52" t="str">
        <f t="shared" si="19"/>
        <v>Row 107 - If ‘TEU type’ is ‘TEU’ then ‘TEU Id’ is required</v>
      </c>
      <c r="I614" s="236" t="s">
        <v>1853</v>
      </c>
      <c r="J614" s="52" t="b">
        <f>IF(OR(INDEX(OHZ_HAZ_UNITTYPE,107,1)="TEU",),INDEX(OHZ_HAZ_TEUID,107,1)&lt;&gt;"",TRUE)</f>
        <v>1</v>
      </c>
      <c r="K614" s="52" t="str">
        <f t="shared" si="20"/>
        <v>Row 107 - If ‘TEU type’ is ‘TEU’ then ‘TEU Id’ is required</v>
      </c>
      <c r="L614" s="236" t="s">
        <v>1853</v>
      </c>
    </row>
    <row r="615" spans="7:12">
      <c r="G615" s="250" t="b">
        <f>IF(OR(INDEX(IHZ_HAZ_UNITTYPE,108,1)="TEU",),INDEX(IHZ_HAZ_TEUID,108,1)&lt;&gt;"",TRUE)</f>
        <v>1</v>
      </c>
      <c r="H615" s="52" t="str">
        <f t="shared" si="19"/>
        <v>Row 108 - If ‘TEU type’ is ‘TEU’ then ‘TEU Id’ is required</v>
      </c>
      <c r="I615" s="236" t="s">
        <v>1853</v>
      </c>
      <c r="J615" s="52" t="b">
        <f>IF(OR(INDEX(OHZ_HAZ_UNITTYPE,108,1)="TEU",),INDEX(OHZ_HAZ_TEUID,108,1)&lt;&gt;"",TRUE)</f>
        <v>1</v>
      </c>
      <c r="K615" s="52" t="str">
        <f t="shared" si="20"/>
        <v>Row 108 - If ‘TEU type’ is ‘TEU’ then ‘TEU Id’ is required</v>
      </c>
      <c r="L615" s="236" t="s">
        <v>1853</v>
      </c>
    </row>
    <row r="616" spans="7:12">
      <c r="G616" s="250" t="b">
        <f>IF(OR(INDEX(IHZ_HAZ_UNITTYPE,109,1)="TEU",),INDEX(IHZ_HAZ_TEUID,109,1)&lt;&gt;"",TRUE)</f>
        <v>1</v>
      </c>
      <c r="H616" s="52" t="str">
        <f t="shared" si="19"/>
        <v>Row 109 - If ‘TEU type’ is ‘TEU’ then ‘TEU Id’ is required</v>
      </c>
      <c r="I616" s="236" t="s">
        <v>1853</v>
      </c>
      <c r="J616" s="52" t="b">
        <f>IF(OR(INDEX(OHZ_HAZ_UNITTYPE,109,1)="TEU",),INDEX(OHZ_HAZ_TEUID,109,1)&lt;&gt;"",TRUE)</f>
        <v>1</v>
      </c>
      <c r="K616" s="52" t="str">
        <f t="shared" si="20"/>
        <v>Row 109 - If ‘TEU type’ is ‘TEU’ then ‘TEU Id’ is required</v>
      </c>
      <c r="L616" s="236" t="s">
        <v>1853</v>
      </c>
    </row>
    <row r="617" spans="7:12">
      <c r="G617" s="250" t="b">
        <f>IF(OR(INDEX(IHZ_HAZ_UNITTYPE,110,1)="TEU",),INDEX(IHZ_HAZ_TEUID,110,1)&lt;&gt;"",TRUE)</f>
        <v>1</v>
      </c>
      <c r="H617" s="52" t="str">
        <f t="shared" si="19"/>
        <v>Row 110 - If ‘TEU type’ is ‘TEU’ then ‘TEU Id’ is required</v>
      </c>
      <c r="I617" s="236" t="s">
        <v>1853</v>
      </c>
      <c r="J617" s="52" t="b">
        <f>IF(OR(INDEX(OHZ_HAZ_UNITTYPE,110,1)="TEU",),INDEX(OHZ_HAZ_TEUID,110,1)&lt;&gt;"",TRUE)</f>
        <v>1</v>
      </c>
      <c r="K617" s="52" t="str">
        <f t="shared" si="20"/>
        <v>Row 110 - If ‘TEU type’ is ‘TEU’ then ‘TEU Id’ is required</v>
      </c>
      <c r="L617" s="236" t="s">
        <v>1853</v>
      </c>
    </row>
    <row r="618" spans="7:12">
      <c r="G618" s="250" t="b">
        <f>IF(OR(INDEX(IHZ_HAZ_UNITTYPE,111,1)="TEU",),INDEX(IHZ_HAZ_TEUID,111,1)&lt;&gt;"",TRUE)</f>
        <v>1</v>
      </c>
      <c r="H618" s="52" t="str">
        <f t="shared" si="19"/>
        <v>Row 111 - If ‘TEU type’ is ‘TEU’ then ‘TEU Id’ is required</v>
      </c>
      <c r="I618" s="236" t="s">
        <v>1853</v>
      </c>
      <c r="J618" s="52" t="b">
        <f>IF(OR(INDEX(OHZ_HAZ_UNITTYPE,111,1)="TEU",),INDEX(OHZ_HAZ_TEUID,111,1)&lt;&gt;"",TRUE)</f>
        <v>1</v>
      </c>
      <c r="K618" s="52" t="str">
        <f t="shared" si="20"/>
        <v>Row 111 - If ‘TEU type’ is ‘TEU’ then ‘TEU Id’ is required</v>
      </c>
      <c r="L618" s="236" t="s">
        <v>1853</v>
      </c>
    </row>
    <row r="619" spans="7:12">
      <c r="G619" s="250" t="b">
        <f>IF(OR(INDEX(IHZ_HAZ_UNITTYPE,112,1)="TEU",),INDEX(IHZ_HAZ_TEUID,112,1)&lt;&gt;"",TRUE)</f>
        <v>1</v>
      </c>
      <c r="H619" s="52" t="str">
        <f t="shared" si="19"/>
        <v>Row 112 - If ‘TEU type’ is ‘TEU’ then ‘TEU Id’ is required</v>
      </c>
      <c r="I619" s="236" t="s">
        <v>1853</v>
      </c>
      <c r="J619" s="52" t="b">
        <f>IF(OR(INDEX(OHZ_HAZ_UNITTYPE,112,1)="TEU",),INDEX(OHZ_HAZ_TEUID,112,1)&lt;&gt;"",TRUE)</f>
        <v>1</v>
      </c>
      <c r="K619" s="52" t="str">
        <f t="shared" si="20"/>
        <v>Row 112 - If ‘TEU type’ is ‘TEU’ then ‘TEU Id’ is required</v>
      </c>
      <c r="L619" s="236" t="s">
        <v>1853</v>
      </c>
    </row>
    <row r="620" spans="7:12">
      <c r="G620" s="250" t="b">
        <f>IF(OR(INDEX(IHZ_HAZ_UNITTYPE,113,1)="TEU",),INDEX(IHZ_HAZ_TEUID,113,1)&lt;&gt;"",TRUE)</f>
        <v>1</v>
      </c>
      <c r="H620" s="52" t="str">
        <f t="shared" si="19"/>
        <v>Row 113 - If ‘TEU type’ is ‘TEU’ then ‘TEU Id’ is required</v>
      </c>
      <c r="I620" s="236" t="s">
        <v>1853</v>
      </c>
      <c r="J620" s="52" t="b">
        <f>IF(OR(INDEX(OHZ_HAZ_UNITTYPE,113,1)="TEU",),INDEX(OHZ_HAZ_TEUID,113,1)&lt;&gt;"",TRUE)</f>
        <v>1</v>
      </c>
      <c r="K620" s="52" t="str">
        <f t="shared" si="20"/>
        <v>Row 113 - If ‘TEU type’ is ‘TEU’ then ‘TEU Id’ is required</v>
      </c>
      <c r="L620" s="236" t="s">
        <v>1853</v>
      </c>
    </row>
    <row r="621" spans="7:12">
      <c r="G621" s="250" t="b">
        <f>IF(OR(INDEX(IHZ_HAZ_UNITTYPE,114,1)="TEU",),INDEX(IHZ_HAZ_TEUID,114,1)&lt;&gt;"",TRUE)</f>
        <v>1</v>
      </c>
      <c r="H621" s="52" t="str">
        <f t="shared" si="19"/>
        <v>Row 114 - If ‘TEU type’ is ‘TEU’ then ‘TEU Id’ is required</v>
      </c>
      <c r="I621" s="236" t="s">
        <v>1853</v>
      </c>
      <c r="J621" s="52" t="b">
        <f>IF(OR(INDEX(OHZ_HAZ_UNITTYPE,114,1)="TEU",),INDEX(OHZ_HAZ_TEUID,114,1)&lt;&gt;"",TRUE)</f>
        <v>1</v>
      </c>
      <c r="K621" s="52" t="str">
        <f t="shared" si="20"/>
        <v>Row 114 - If ‘TEU type’ is ‘TEU’ then ‘TEU Id’ is required</v>
      </c>
      <c r="L621" s="236" t="s">
        <v>1853</v>
      </c>
    </row>
    <row r="622" spans="7:12">
      <c r="G622" s="250" t="b">
        <f>IF(OR(INDEX(IHZ_HAZ_UNITTYPE,115,1)="TEU",),INDEX(IHZ_HAZ_TEUID,115,1)&lt;&gt;"",TRUE)</f>
        <v>1</v>
      </c>
      <c r="H622" s="52" t="str">
        <f t="shared" si="19"/>
        <v>Row 115 - If ‘TEU type’ is ‘TEU’ then ‘TEU Id’ is required</v>
      </c>
      <c r="I622" s="236" t="s">
        <v>1853</v>
      </c>
      <c r="J622" s="52" t="b">
        <f>IF(OR(INDEX(OHZ_HAZ_UNITTYPE,115,1)="TEU",),INDEX(OHZ_HAZ_TEUID,115,1)&lt;&gt;"",TRUE)</f>
        <v>1</v>
      </c>
      <c r="K622" s="52" t="str">
        <f t="shared" si="20"/>
        <v>Row 115 - If ‘TEU type’ is ‘TEU’ then ‘TEU Id’ is required</v>
      </c>
      <c r="L622" s="236" t="s">
        <v>1853</v>
      </c>
    </row>
    <row r="623" spans="7:12">
      <c r="G623" s="250" t="b">
        <f>IF(OR(INDEX(IHZ_HAZ_UNITTYPE,116,1)="TEU",),INDEX(IHZ_HAZ_TEUID,116,1)&lt;&gt;"",TRUE)</f>
        <v>1</v>
      </c>
      <c r="H623" s="52" t="str">
        <f t="shared" si="19"/>
        <v>Row 116 - If ‘TEU type’ is ‘TEU’ then ‘TEU Id’ is required</v>
      </c>
      <c r="I623" s="236" t="s">
        <v>1853</v>
      </c>
      <c r="J623" s="52" t="b">
        <f>IF(OR(INDEX(OHZ_HAZ_UNITTYPE,116,1)="TEU",),INDEX(OHZ_HAZ_TEUID,116,1)&lt;&gt;"",TRUE)</f>
        <v>1</v>
      </c>
      <c r="K623" s="52" t="str">
        <f t="shared" si="20"/>
        <v>Row 116 - If ‘TEU type’ is ‘TEU’ then ‘TEU Id’ is required</v>
      </c>
      <c r="L623" s="236" t="s">
        <v>1853</v>
      </c>
    </row>
    <row r="624" spans="7:12">
      <c r="G624" s="250" t="b">
        <f>IF(OR(INDEX(IHZ_HAZ_UNITTYPE,117,1)="TEU",),INDEX(IHZ_HAZ_TEUID,117,1)&lt;&gt;"",TRUE)</f>
        <v>1</v>
      </c>
      <c r="H624" s="52" t="str">
        <f t="shared" si="19"/>
        <v>Row 117 - If ‘TEU type’ is ‘TEU’ then ‘TEU Id’ is required</v>
      </c>
      <c r="I624" s="236" t="s">
        <v>1853</v>
      </c>
      <c r="J624" s="52" t="b">
        <f>IF(OR(INDEX(OHZ_HAZ_UNITTYPE,117,1)="TEU",),INDEX(OHZ_HAZ_TEUID,117,1)&lt;&gt;"",TRUE)</f>
        <v>1</v>
      </c>
      <c r="K624" s="52" t="str">
        <f t="shared" si="20"/>
        <v>Row 117 - If ‘TEU type’ is ‘TEU’ then ‘TEU Id’ is required</v>
      </c>
      <c r="L624" s="236" t="s">
        <v>1853</v>
      </c>
    </row>
    <row r="625" spans="7:12">
      <c r="G625" s="250" t="b">
        <f>IF(OR(INDEX(IHZ_HAZ_UNITTYPE,118,1)="TEU",),INDEX(IHZ_HAZ_TEUID,118,1)&lt;&gt;"",TRUE)</f>
        <v>1</v>
      </c>
      <c r="H625" s="52" t="str">
        <f t="shared" si="19"/>
        <v>Row 118 - If ‘TEU type’ is ‘TEU’ then ‘TEU Id’ is required</v>
      </c>
      <c r="I625" s="236" t="s">
        <v>1853</v>
      </c>
      <c r="J625" s="52" t="b">
        <f>IF(OR(INDEX(OHZ_HAZ_UNITTYPE,118,1)="TEU",),INDEX(OHZ_HAZ_TEUID,118,1)&lt;&gt;"",TRUE)</f>
        <v>1</v>
      </c>
      <c r="K625" s="52" t="str">
        <f t="shared" si="20"/>
        <v>Row 118 - If ‘TEU type’ is ‘TEU’ then ‘TEU Id’ is required</v>
      </c>
      <c r="L625" s="236" t="s">
        <v>1853</v>
      </c>
    </row>
    <row r="626" spans="7:12">
      <c r="G626" s="250" t="b">
        <f>IF(OR(INDEX(IHZ_HAZ_UNITTYPE,119,1)="TEU",),INDEX(IHZ_HAZ_TEUID,119,1)&lt;&gt;"",TRUE)</f>
        <v>1</v>
      </c>
      <c r="H626" s="52" t="str">
        <f t="shared" si="19"/>
        <v>Row 119 - If ‘TEU type’ is ‘TEU’ then ‘TEU Id’ is required</v>
      </c>
      <c r="I626" s="236" t="s">
        <v>1853</v>
      </c>
      <c r="J626" s="52" t="b">
        <f>IF(OR(INDEX(OHZ_HAZ_UNITTYPE,119,1)="TEU",),INDEX(OHZ_HAZ_TEUID,119,1)&lt;&gt;"",TRUE)</f>
        <v>1</v>
      </c>
      <c r="K626" s="52" t="str">
        <f t="shared" si="20"/>
        <v>Row 119 - If ‘TEU type’ is ‘TEU’ then ‘TEU Id’ is required</v>
      </c>
      <c r="L626" s="236" t="s">
        <v>1853</v>
      </c>
    </row>
    <row r="627" spans="7:12">
      <c r="G627" s="250" t="b">
        <f>IF(OR(INDEX(IHZ_HAZ_UNITTYPE,120,1)="TEU",),INDEX(IHZ_HAZ_TEUID,120,1)&lt;&gt;"",TRUE)</f>
        <v>1</v>
      </c>
      <c r="H627" s="52" t="str">
        <f t="shared" si="19"/>
        <v>Row 120 - If ‘TEU type’ is ‘TEU’ then ‘TEU Id’ is required</v>
      </c>
      <c r="I627" s="236" t="s">
        <v>1853</v>
      </c>
      <c r="J627" s="52" t="b">
        <f>IF(OR(INDEX(OHZ_HAZ_UNITTYPE,120,1)="TEU",),INDEX(OHZ_HAZ_TEUID,120,1)&lt;&gt;"",TRUE)</f>
        <v>1</v>
      </c>
      <c r="K627" s="52" t="str">
        <f t="shared" si="20"/>
        <v>Row 120 - If ‘TEU type’ is ‘TEU’ then ‘TEU Id’ is required</v>
      </c>
      <c r="L627" s="236" t="s">
        <v>1853</v>
      </c>
    </row>
    <row r="628" spans="7:12">
      <c r="G628" s="250" t="b">
        <f>IF(OR(INDEX(IHZ_HAZ_UNITTYPE,121,1)="TEU",),INDEX(IHZ_HAZ_TEUID,121,1)&lt;&gt;"",TRUE)</f>
        <v>1</v>
      </c>
      <c r="H628" s="52" t="str">
        <f t="shared" si="19"/>
        <v>Row 121 - If ‘TEU type’ is ‘TEU’ then ‘TEU Id’ is required</v>
      </c>
      <c r="I628" s="236" t="s">
        <v>1853</v>
      </c>
      <c r="J628" s="52" t="b">
        <f>IF(OR(INDEX(OHZ_HAZ_UNITTYPE,121,1)="TEU",),INDEX(OHZ_HAZ_TEUID,121,1)&lt;&gt;"",TRUE)</f>
        <v>1</v>
      </c>
      <c r="K628" s="52" t="str">
        <f t="shared" si="20"/>
        <v>Row 121 - If ‘TEU type’ is ‘TEU’ then ‘TEU Id’ is required</v>
      </c>
      <c r="L628" s="236" t="s">
        <v>1853</v>
      </c>
    </row>
    <row r="629" spans="7:12">
      <c r="G629" s="250" t="b">
        <f>IF(OR(INDEX(IHZ_HAZ_UNITTYPE,122,1)="TEU",),INDEX(IHZ_HAZ_TEUID,122,1)&lt;&gt;"",TRUE)</f>
        <v>1</v>
      </c>
      <c r="H629" s="52" t="str">
        <f t="shared" si="19"/>
        <v>Row 122 - If ‘TEU type’ is ‘TEU’ then ‘TEU Id’ is required</v>
      </c>
      <c r="I629" s="236" t="s">
        <v>1853</v>
      </c>
      <c r="J629" s="52" t="b">
        <f>IF(OR(INDEX(OHZ_HAZ_UNITTYPE,122,1)="TEU",),INDEX(OHZ_HAZ_TEUID,122,1)&lt;&gt;"",TRUE)</f>
        <v>1</v>
      </c>
      <c r="K629" s="52" t="str">
        <f t="shared" si="20"/>
        <v>Row 122 - If ‘TEU type’ is ‘TEU’ then ‘TEU Id’ is required</v>
      </c>
      <c r="L629" s="236" t="s">
        <v>1853</v>
      </c>
    </row>
    <row r="630" spans="7:12">
      <c r="G630" s="250" t="b">
        <f>IF(OR(INDEX(IHZ_HAZ_UNITTYPE,123,1)="TEU",),INDEX(IHZ_HAZ_TEUID,123,1)&lt;&gt;"",TRUE)</f>
        <v>1</v>
      </c>
      <c r="H630" s="52" t="str">
        <f t="shared" si="19"/>
        <v>Row 123 - If ‘TEU type’ is ‘TEU’ then ‘TEU Id’ is required</v>
      </c>
      <c r="I630" s="236" t="s">
        <v>1853</v>
      </c>
      <c r="J630" s="52" t="b">
        <f>IF(OR(INDEX(OHZ_HAZ_UNITTYPE,123,1)="TEU",),INDEX(OHZ_HAZ_TEUID,123,1)&lt;&gt;"",TRUE)</f>
        <v>1</v>
      </c>
      <c r="K630" s="52" t="str">
        <f t="shared" si="20"/>
        <v>Row 123 - If ‘TEU type’ is ‘TEU’ then ‘TEU Id’ is required</v>
      </c>
      <c r="L630" s="236" t="s">
        <v>1853</v>
      </c>
    </row>
    <row r="631" spans="7:12">
      <c r="G631" s="250" t="b">
        <f>IF(OR(INDEX(IHZ_HAZ_UNITTYPE,124,1)="TEU",),INDEX(IHZ_HAZ_TEUID,124,1)&lt;&gt;"",TRUE)</f>
        <v>1</v>
      </c>
      <c r="H631" s="52" t="str">
        <f t="shared" si="19"/>
        <v>Row 124 - If ‘TEU type’ is ‘TEU’ then ‘TEU Id’ is required</v>
      </c>
      <c r="I631" s="236" t="s">
        <v>1853</v>
      </c>
      <c r="J631" s="52" t="b">
        <f>IF(OR(INDEX(OHZ_HAZ_UNITTYPE,124,1)="TEU",),INDEX(OHZ_HAZ_TEUID,124,1)&lt;&gt;"",TRUE)</f>
        <v>1</v>
      </c>
      <c r="K631" s="52" t="str">
        <f t="shared" si="20"/>
        <v>Row 124 - If ‘TEU type’ is ‘TEU’ then ‘TEU Id’ is required</v>
      </c>
      <c r="L631" s="236" t="s">
        <v>1853</v>
      </c>
    </row>
    <row r="632" spans="7:12">
      <c r="G632" s="250" t="b">
        <f>IF(OR(INDEX(IHZ_HAZ_UNITTYPE,125,1)="TEU",),INDEX(IHZ_HAZ_TEUID,125,1)&lt;&gt;"",TRUE)</f>
        <v>1</v>
      </c>
      <c r="H632" s="52" t="str">
        <f t="shared" si="19"/>
        <v>Row 125 - If ‘TEU type’ is ‘TEU’ then ‘TEU Id’ is required</v>
      </c>
      <c r="I632" s="236" t="s">
        <v>1853</v>
      </c>
      <c r="J632" s="52" t="b">
        <f>IF(OR(INDEX(OHZ_HAZ_UNITTYPE,125,1)="TEU",),INDEX(OHZ_HAZ_TEUID,125,1)&lt;&gt;"",TRUE)</f>
        <v>1</v>
      </c>
      <c r="K632" s="52" t="str">
        <f t="shared" si="20"/>
        <v>Row 125 - If ‘TEU type’ is ‘TEU’ then ‘TEU Id’ is required</v>
      </c>
      <c r="L632" s="236" t="s">
        <v>1853</v>
      </c>
    </row>
    <row r="633" spans="7:12">
      <c r="G633" s="250" t="b">
        <f>IF(OR(INDEX(IHZ_HAZ_UNITTYPE,126,1)="TEU",),INDEX(IHZ_HAZ_TEUID,126,1)&lt;&gt;"",TRUE)</f>
        <v>1</v>
      </c>
      <c r="H633" s="52" t="str">
        <f t="shared" si="19"/>
        <v>Row 126 - If ‘TEU type’ is ‘TEU’ then ‘TEU Id’ is required</v>
      </c>
      <c r="I633" s="236" t="s">
        <v>1853</v>
      </c>
      <c r="J633" s="52" t="b">
        <f>IF(OR(INDEX(OHZ_HAZ_UNITTYPE,126,1)="TEU",),INDEX(OHZ_HAZ_TEUID,126,1)&lt;&gt;"",TRUE)</f>
        <v>1</v>
      </c>
      <c r="K633" s="52" t="str">
        <f t="shared" si="20"/>
        <v>Row 126 - If ‘TEU type’ is ‘TEU’ then ‘TEU Id’ is required</v>
      </c>
      <c r="L633" s="236" t="s">
        <v>1853</v>
      </c>
    </row>
    <row r="634" spans="7:12">
      <c r="G634" s="250" t="b">
        <f>IF(OR(INDEX(IHZ_HAZ_UNITTYPE,127,1)="TEU",),INDEX(IHZ_HAZ_TEUID,127,1)&lt;&gt;"",TRUE)</f>
        <v>1</v>
      </c>
      <c r="H634" s="52" t="str">
        <f t="shared" si="19"/>
        <v>Row 127 - If ‘TEU type’ is ‘TEU’ then ‘TEU Id’ is required</v>
      </c>
      <c r="I634" s="236" t="s">
        <v>1853</v>
      </c>
      <c r="J634" s="52" t="b">
        <f>IF(OR(INDEX(OHZ_HAZ_UNITTYPE,127,1)="TEU",),INDEX(OHZ_HAZ_TEUID,127,1)&lt;&gt;"",TRUE)</f>
        <v>1</v>
      </c>
      <c r="K634" s="52" t="str">
        <f t="shared" si="20"/>
        <v>Row 127 - If ‘TEU type’ is ‘TEU’ then ‘TEU Id’ is required</v>
      </c>
      <c r="L634" s="236" t="s">
        <v>1853</v>
      </c>
    </row>
    <row r="635" spans="7:12">
      <c r="G635" s="250" t="b">
        <f>IF(OR(INDEX(IHZ_HAZ_UNITTYPE,128,1)="TEU",),INDEX(IHZ_HAZ_TEUID,128,1)&lt;&gt;"",TRUE)</f>
        <v>1</v>
      </c>
      <c r="H635" s="52" t="str">
        <f t="shared" si="19"/>
        <v>Row 128 - If ‘TEU type’ is ‘TEU’ then ‘TEU Id’ is required</v>
      </c>
      <c r="I635" s="236" t="s">
        <v>1853</v>
      </c>
      <c r="J635" s="52" t="b">
        <f>IF(OR(INDEX(OHZ_HAZ_UNITTYPE,128,1)="TEU",),INDEX(OHZ_HAZ_TEUID,128,1)&lt;&gt;"",TRUE)</f>
        <v>1</v>
      </c>
      <c r="K635" s="52" t="str">
        <f t="shared" si="20"/>
        <v>Row 128 - If ‘TEU type’ is ‘TEU’ then ‘TEU Id’ is required</v>
      </c>
      <c r="L635" s="236" t="s">
        <v>1853</v>
      </c>
    </row>
    <row r="636" spans="7:12">
      <c r="G636" s="250" t="b">
        <f>IF(OR(INDEX(IHZ_HAZ_UNITTYPE,129,1)="TEU",),INDEX(IHZ_HAZ_TEUID,129,1)&lt;&gt;"",TRUE)</f>
        <v>1</v>
      </c>
      <c r="H636" s="52" t="str">
        <f t="shared" si="19"/>
        <v>Row 129 - If ‘TEU type’ is ‘TEU’ then ‘TEU Id’ is required</v>
      </c>
      <c r="I636" s="236" t="s">
        <v>1853</v>
      </c>
      <c r="J636" s="52" t="b">
        <f>IF(OR(INDEX(OHZ_HAZ_UNITTYPE,129,1)="TEU",),INDEX(OHZ_HAZ_TEUID,129,1)&lt;&gt;"",TRUE)</f>
        <v>1</v>
      </c>
      <c r="K636" s="52" t="str">
        <f t="shared" si="20"/>
        <v>Row 129 - If ‘TEU type’ is ‘TEU’ then ‘TEU Id’ is required</v>
      </c>
      <c r="L636" s="236" t="s">
        <v>1853</v>
      </c>
    </row>
    <row r="637" spans="7:12">
      <c r="G637" s="250" t="b">
        <f>IF(OR(INDEX(IHZ_HAZ_UNITTYPE,130,1)="TEU",),INDEX(IHZ_HAZ_TEUID,130,1)&lt;&gt;"",TRUE)</f>
        <v>1</v>
      </c>
      <c r="H637" s="52" t="str">
        <f t="shared" ref="H637:H700" si="21">T130&amp;$V$3</f>
        <v>Row 130 - If ‘TEU type’ is ‘TEU’ then ‘TEU Id’ is required</v>
      </c>
      <c r="I637" s="236" t="s">
        <v>1853</v>
      </c>
      <c r="J637" s="52" t="b">
        <f>IF(OR(INDEX(OHZ_HAZ_UNITTYPE,130,1)="TEU",),INDEX(OHZ_HAZ_TEUID,130,1)&lt;&gt;"",TRUE)</f>
        <v>1</v>
      </c>
      <c r="K637" s="52" t="str">
        <f t="shared" ref="K637:K700" si="22">T130&amp;$V$3</f>
        <v>Row 130 - If ‘TEU type’ is ‘TEU’ then ‘TEU Id’ is required</v>
      </c>
      <c r="L637" s="236" t="s">
        <v>1853</v>
      </c>
    </row>
    <row r="638" spans="7:12">
      <c r="G638" s="250" t="b">
        <f>IF(OR(INDEX(IHZ_HAZ_UNITTYPE,131,1)="TEU",),INDEX(IHZ_HAZ_TEUID,131,1)&lt;&gt;"",TRUE)</f>
        <v>1</v>
      </c>
      <c r="H638" s="52" t="str">
        <f t="shared" si="21"/>
        <v>Row 131 - If ‘TEU type’ is ‘TEU’ then ‘TEU Id’ is required</v>
      </c>
      <c r="I638" s="236" t="s">
        <v>1853</v>
      </c>
      <c r="J638" s="52" t="b">
        <f>IF(OR(INDEX(OHZ_HAZ_UNITTYPE,131,1)="TEU",),INDEX(OHZ_HAZ_TEUID,131,1)&lt;&gt;"",TRUE)</f>
        <v>1</v>
      </c>
      <c r="K638" s="52" t="str">
        <f t="shared" si="22"/>
        <v>Row 131 - If ‘TEU type’ is ‘TEU’ then ‘TEU Id’ is required</v>
      </c>
      <c r="L638" s="236" t="s">
        <v>1853</v>
      </c>
    </row>
    <row r="639" spans="7:12">
      <c r="G639" s="250" t="b">
        <f>IF(OR(INDEX(IHZ_HAZ_UNITTYPE,132,1)="TEU",),INDEX(IHZ_HAZ_TEUID,132,1)&lt;&gt;"",TRUE)</f>
        <v>1</v>
      </c>
      <c r="H639" s="52" t="str">
        <f t="shared" si="21"/>
        <v>Row 132 - If ‘TEU type’ is ‘TEU’ then ‘TEU Id’ is required</v>
      </c>
      <c r="I639" s="236" t="s">
        <v>1853</v>
      </c>
      <c r="J639" s="52" t="b">
        <f>IF(OR(INDEX(OHZ_HAZ_UNITTYPE,132,1)="TEU",),INDEX(OHZ_HAZ_TEUID,132,1)&lt;&gt;"",TRUE)</f>
        <v>1</v>
      </c>
      <c r="K639" s="52" t="str">
        <f t="shared" si="22"/>
        <v>Row 132 - If ‘TEU type’ is ‘TEU’ then ‘TEU Id’ is required</v>
      </c>
      <c r="L639" s="236" t="s">
        <v>1853</v>
      </c>
    </row>
    <row r="640" spans="7:12">
      <c r="G640" s="250" t="b">
        <f>IF(OR(INDEX(IHZ_HAZ_UNITTYPE,133,1)="TEU",),INDEX(IHZ_HAZ_TEUID,133,1)&lt;&gt;"",TRUE)</f>
        <v>1</v>
      </c>
      <c r="H640" s="52" t="str">
        <f t="shared" si="21"/>
        <v>Row 133 - If ‘TEU type’ is ‘TEU’ then ‘TEU Id’ is required</v>
      </c>
      <c r="I640" s="236" t="s">
        <v>1853</v>
      </c>
      <c r="J640" s="52" t="b">
        <f>IF(OR(INDEX(OHZ_HAZ_UNITTYPE,133,1)="TEU",),INDEX(OHZ_HAZ_TEUID,133,1)&lt;&gt;"",TRUE)</f>
        <v>1</v>
      </c>
      <c r="K640" s="52" t="str">
        <f t="shared" si="22"/>
        <v>Row 133 - If ‘TEU type’ is ‘TEU’ then ‘TEU Id’ is required</v>
      </c>
      <c r="L640" s="236" t="s">
        <v>1853</v>
      </c>
    </row>
    <row r="641" spans="7:12">
      <c r="G641" s="250" t="b">
        <f>IF(OR(INDEX(IHZ_HAZ_UNITTYPE,134,1)="TEU",),INDEX(IHZ_HAZ_TEUID,134,1)&lt;&gt;"",TRUE)</f>
        <v>1</v>
      </c>
      <c r="H641" s="52" t="str">
        <f t="shared" si="21"/>
        <v>Row 134 - If ‘TEU type’ is ‘TEU’ then ‘TEU Id’ is required</v>
      </c>
      <c r="I641" s="236" t="s">
        <v>1853</v>
      </c>
      <c r="J641" s="52" t="b">
        <f>IF(OR(INDEX(OHZ_HAZ_UNITTYPE,134,1)="TEU",),INDEX(OHZ_HAZ_TEUID,134,1)&lt;&gt;"",TRUE)</f>
        <v>1</v>
      </c>
      <c r="K641" s="52" t="str">
        <f t="shared" si="22"/>
        <v>Row 134 - If ‘TEU type’ is ‘TEU’ then ‘TEU Id’ is required</v>
      </c>
      <c r="L641" s="236" t="s">
        <v>1853</v>
      </c>
    </row>
    <row r="642" spans="7:12">
      <c r="G642" s="250" t="b">
        <f>IF(OR(INDEX(IHZ_HAZ_UNITTYPE,135,1)="TEU",),INDEX(IHZ_HAZ_TEUID,135,1)&lt;&gt;"",TRUE)</f>
        <v>1</v>
      </c>
      <c r="H642" s="52" t="str">
        <f t="shared" si="21"/>
        <v>Row 135 - If ‘TEU type’ is ‘TEU’ then ‘TEU Id’ is required</v>
      </c>
      <c r="I642" s="236" t="s">
        <v>1853</v>
      </c>
      <c r="J642" s="52" t="b">
        <f>IF(OR(INDEX(OHZ_HAZ_UNITTYPE,135,1)="TEU",),INDEX(OHZ_HAZ_TEUID,135,1)&lt;&gt;"",TRUE)</f>
        <v>1</v>
      </c>
      <c r="K642" s="52" t="str">
        <f t="shared" si="22"/>
        <v>Row 135 - If ‘TEU type’ is ‘TEU’ then ‘TEU Id’ is required</v>
      </c>
      <c r="L642" s="236" t="s">
        <v>1853</v>
      </c>
    </row>
    <row r="643" spans="7:12">
      <c r="G643" s="250" t="b">
        <f>IF(OR(INDEX(IHZ_HAZ_UNITTYPE,136,1)="TEU",),INDEX(IHZ_HAZ_TEUID,136,1)&lt;&gt;"",TRUE)</f>
        <v>1</v>
      </c>
      <c r="H643" s="52" t="str">
        <f t="shared" si="21"/>
        <v>Row 136 - If ‘TEU type’ is ‘TEU’ then ‘TEU Id’ is required</v>
      </c>
      <c r="I643" s="236" t="s">
        <v>1853</v>
      </c>
      <c r="J643" s="52" t="b">
        <f>IF(OR(INDEX(OHZ_HAZ_UNITTYPE,136,1)="TEU",),INDEX(OHZ_HAZ_TEUID,136,1)&lt;&gt;"",TRUE)</f>
        <v>1</v>
      </c>
      <c r="K643" s="52" t="str">
        <f t="shared" si="22"/>
        <v>Row 136 - If ‘TEU type’ is ‘TEU’ then ‘TEU Id’ is required</v>
      </c>
      <c r="L643" s="236" t="s">
        <v>1853</v>
      </c>
    </row>
    <row r="644" spans="7:12">
      <c r="G644" s="250" t="b">
        <f>IF(OR(INDEX(IHZ_HAZ_UNITTYPE,137,1)="TEU",),INDEX(IHZ_HAZ_TEUID,137,1)&lt;&gt;"",TRUE)</f>
        <v>1</v>
      </c>
      <c r="H644" s="52" t="str">
        <f t="shared" si="21"/>
        <v>Row 137 - If ‘TEU type’ is ‘TEU’ then ‘TEU Id’ is required</v>
      </c>
      <c r="I644" s="236" t="s">
        <v>1853</v>
      </c>
      <c r="J644" s="52" t="b">
        <f>IF(OR(INDEX(OHZ_HAZ_UNITTYPE,137,1)="TEU",),INDEX(OHZ_HAZ_TEUID,137,1)&lt;&gt;"",TRUE)</f>
        <v>1</v>
      </c>
      <c r="K644" s="52" t="str">
        <f t="shared" si="22"/>
        <v>Row 137 - If ‘TEU type’ is ‘TEU’ then ‘TEU Id’ is required</v>
      </c>
      <c r="L644" s="236" t="s">
        <v>1853</v>
      </c>
    </row>
    <row r="645" spans="7:12">
      <c r="G645" s="250" t="b">
        <f>IF(OR(INDEX(IHZ_HAZ_UNITTYPE,138,1)="TEU",),INDEX(IHZ_HAZ_TEUID,138,1)&lt;&gt;"",TRUE)</f>
        <v>1</v>
      </c>
      <c r="H645" s="52" t="str">
        <f t="shared" si="21"/>
        <v>Row 138 - If ‘TEU type’ is ‘TEU’ then ‘TEU Id’ is required</v>
      </c>
      <c r="I645" s="236" t="s">
        <v>1853</v>
      </c>
      <c r="J645" s="52" t="b">
        <f>IF(OR(INDEX(OHZ_HAZ_UNITTYPE,138,1)="TEU",),INDEX(OHZ_HAZ_TEUID,138,1)&lt;&gt;"",TRUE)</f>
        <v>1</v>
      </c>
      <c r="K645" s="52" t="str">
        <f t="shared" si="22"/>
        <v>Row 138 - If ‘TEU type’ is ‘TEU’ then ‘TEU Id’ is required</v>
      </c>
      <c r="L645" s="236" t="s">
        <v>1853</v>
      </c>
    </row>
    <row r="646" spans="7:12">
      <c r="G646" s="250" t="b">
        <f>IF(OR(INDEX(IHZ_HAZ_UNITTYPE,139,1)="TEU",),INDEX(IHZ_HAZ_TEUID,139,1)&lt;&gt;"",TRUE)</f>
        <v>1</v>
      </c>
      <c r="H646" s="52" t="str">
        <f t="shared" si="21"/>
        <v>Row 139 - If ‘TEU type’ is ‘TEU’ then ‘TEU Id’ is required</v>
      </c>
      <c r="I646" s="236" t="s">
        <v>1853</v>
      </c>
      <c r="J646" s="52" t="b">
        <f>IF(OR(INDEX(OHZ_HAZ_UNITTYPE,139,1)="TEU",),INDEX(OHZ_HAZ_TEUID,139,1)&lt;&gt;"",TRUE)</f>
        <v>1</v>
      </c>
      <c r="K646" s="52" t="str">
        <f t="shared" si="22"/>
        <v>Row 139 - If ‘TEU type’ is ‘TEU’ then ‘TEU Id’ is required</v>
      </c>
      <c r="L646" s="236" t="s">
        <v>1853</v>
      </c>
    </row>
    <row r="647" spans="7:12">
      <c r="G647" s="250" t="b">
        <f>IF(OR(INDEX(IHZ_HAZ_UNITTYPE,140,1)="TEU",),INDEX(IHZ_HAZ_TEUID,140,1)&lt;&gt;"",TRUE)</f>
        <v>1</v>
      </c>
      <c r="H647" s="52" t="str">
        <f t="shared" si="21"/>
        <v>Row 140 - If ‘TEU type’ is ‘TEU’ then ‘TEU Id’ is required</v>
      </c>
      <c r="I647" s="236" t="s">
        <v>1853</v>
      </c>
      <c r="J647" s="52" t="b">
        <f>IF(OR(INDEX(OHZ_HAZ_UNITTYPE,140,1)="TEU",),INDEX(OHZ_HAZ_TEUID,140,1)&lt;&gt;"",TRUE)</f>
        <v>1</v>
      </c>
      <c r="K647" s="52" t="str">
        <f t="shared" si="22"/>
        <v>Row 140 - If ‘TEU type’ is ‘TEU’ then ‘TEU Id’ is required</v>
      </c>
      <c r="L647" s="236" t="s">
        <v>1853</v>
      </c>
    </row>
    <row r="648" spans="7:12">
      <c r="G648" s="250" t="b">
        <f>IF(OR(INDEX(IHZ_HAZ_UNITTYPE,141,1)="TEU",),INDEX(IHZ_HAZ_TEUID,141,1)&lt;&gt;"",TRUE)</f>
        <v>1</v>
      </c>
      <c r="H648" s="52" t="str">
        <f t="shared" si="21"/>
        <v>Row 141 - If ‘TEU type’ is ‘TEU’ then ‘TEU Id’ is required</v>
      </c>
      <c r="I648" s="236" t="s">
        <v>1853</v>
      </c>
      <c r="J648" s="52" t="b">
        <f>IF(OR(INDEX(OHZ_HAZ_UNITTYPE,141,1)="TEU",),INDEX(OHZ_HAZ_TEUID,141,1)&lt;&gt;"",TRUE)</f>
        <v>1</v>
      </c>
      <c r="K648" s="52" t="str">
        <f t="shared" si="22"/>
        <v>Row 141 - If ‘TEU type’ is ‘TEU’ then ‘TEU Id’ is required</v>
      </c>
      <c r="L648" s="236" t="s">
        <v>1853</v>
      </c>
    </row>
    <row r="649" spans="7:12">
      <c r="G649" s="250" t="b">
        <f>IF(OR(INDEX(IHZ_HAZ_UNITTYPE,142,1)="TEU",),INDEX(IHZ_HAZ_TEUID,142,1)&lt;&gt;"",TRUE)</f>
        <v>1</v>
      </c>
      <c r="H649" s="52" t="str">
        <f t="shared" si="21"/>
        <v>Row 142 - If ‘TEU type’ is ‘TEU’ then ‘TEU Id’ is required</v>
      </c>
      <c r="I649" s="236" t="s">
        <v>1853</v>
      </c>
      <c r="J649" s="52" t="b">
        <f>IF(OR(INDEX(OHZ_HAZ_UNITTYPE,142,1)="TEU",),INDEX(OHZ_HAZ_TEUID,142,1)&lt;&gt;"",TRUE)</f>
        <v>1</v>
      </c>
      <c r="K649" s="52" t="str">
        <f t="shared" si="22"/>
        <v>Row 142 - If ‘TEU type’ is ‘TEU’ then ‘TEU Id’ is required</v>
      </c>
      <c r="L649" s="236" t="s">
        <v>1853</v>
      </c>
    </row>
    <row r="650" spans="7:12">
      <c r="G650" s="250" t="b">
        <f>IF(OR(INDEX(IHZ_HAZ_UNITTYPE,143,1)="TEU",),INDEX(IHZ_HAZ_TEUID,143,1)&lt;&gt;"",TRUE)</f>
        <v>1</v>
      </c>
      <c r="H650" s="52" t="str">
        <f t="shared" si="21"/>
        <v>Row 143 - If ‘TEU type’ is ‘TEU’ then ‘TEU Id’ is required</v>
      </c>
      <c r="I650" s="236" t="s">
        <v>1853</v>
      </c>
      <c r="J650" s="52" t="b">
        <f>IF(OR(INDEX(OHZ_HAZ_UNITTYPE,143,1)="TEU",),INDEX(OHZ_HAZ_TEUID,143,1)&lt;&gt;"",TRUE)</f>
        <v>1</v>
      </c>
      <c r="K650" s="52" t="str">
        <f t="shared" si="22"/>
        <v>Row 143 - If ‘TEU type’ is ‘TEU’ then ‘TEU Id’ is required</v>
      </c>
      <c r="L650" s="236" t="s">
        <v>1853</v>
      </c>
    </row>
    <row r="651" spans="7:12">
      <c r="G651" s="250" t="b">
        <f>IF(OR(INDEX(IHZ_HAZ_UNITTYPE,144,1)="TEU",),INDEX(IHZ_HAZ_TEUID,144,1)&lt;&gt;"",TRUE)</f>
        <v>1</v>
      </c>
      <c r="H651" s="52" t="str">
        <f t="shared" si="21"/>
        <v>Row 144 - If ‘TEU type’ is ‘TEU’ then ‘TEU Id’ is required</v>
      </c>
      <c r="I651" s="236" t="s">
        <v>1853</v>
      </c>
      <c r="J651" s="52" t="b">
        <f>IF(OR(INDEX(OHZ_HAZ_UNITTYPE,144,1)="TEU",),INDEX(OHZ_HAZ_TEUID,144,1)&lt;&gt;"",TRUE)</f>
        <v>1</v>
      </c>
      <c r="K651" s="52" t="str">
        <f t="shared" si="22"/>
        <v>Row 144 - If ‘TEU type’ is ‘TEU’ then ‘TEU Id’ is required</v>
      </c>
      <c r="L651" s="236" t="s">
        <v>1853</v>
      </c>
    </row>
    <row r="652" spans="7:12">
      <c r="G652" s="250" t="b">
        <f>IF(OR(INDEX(IHZ_HAZ_UNITTYPE,145,1)="TEU",),INDEX(IHZ_HAZ_TEUID,145,1)&lt;&gt;"",TRUE)</f>
        <v>1</v>
      </c>
      <c r="H652" s="52" t="str">
        <f t="shared" si="21"/>
        <v>Row 145 - If ‘TEU type’ is ‘TEU’ then ‘TEU Id’ is required</v>
      </c>
      <c r="I652" s="236" t="s">
        <v>1853</v>
      </c>
      <c r="J652" s="52" t="b">
        <f>IF(OR(INDEX(OHZ_HAZ_UNITTYPE,145,1)="TEU",),INDEX(OHZ_HAZ_TEUID,145,1)&lt;&gt;"",TRUE)</f>
        <v>1</v>
      </c>
      <c r="K652" s="52" t="str">
        <f t="shared" si="22"/>
        <v>Row 145 - If ‘TEU type’ is ‘TEU’ then ‘TEU Id’ is required</v>
      </c>
      <c r="L652" s="236" t="s">
        <v>1853</v>
      </c>
    </row>
    <row r="653" spans="7:12">
      <c r="G653" s="250" t="b">
        <f>IF(OR(INDEX(IHZ_HAZ_UNITTYPE,146,1)="TEU",),INDEX(IHZ_HAZ_TEUID,146,1)&lt;&gt;"",TRUE)</f>
        <v>1</v>
      </c>
      <c r="H653" s="52" t="str">
        <f t="shared" si="21"/>
        <v>Row 146 - If ‘TEU type’ is ‘TEU’ then ‘TEU Id’ is required</v>
      </c>
      <c r="I653" s="236" t="s">
        <v>1853</v>
      </c>
      <c r="J653" s="52" t="b">
        <f>IF(OR(INDEX(OHZ_HAZ_UNITTYPE,146,1)="TEU",),INDEX(OHZ_HAZ_TEUID,146,1)&lt;&gt;"",TRUE)</f>
        <v>1</v>
      </c>
      <c r="K653" s="52" t="str">
        <f t="shared" si="22"/>
        <v>Row 146 - If ‘TEU type’ is ‘TEU’ then ‘TEU Id’ is required</v>
      </c>
      <c r="L653" s="236" t="s">
        <v>1853</v>
      </c>
    </row>
    <row r="654" spans="7:12">
      <c r="G654" s="250" t="b">
        <f>IF(OR(INDEX(IHZ_HAZ_UNITTYPE,147,1)="TEU",),INDEX(IHZ_HAZ_TEUID,147,1)&lt;&gt;"",TRUE)</f>
        <v>1</v>
      </c>
      <c r="H654" s="52" t="str">
        <f t="shared" si="21"/>
        <v>Row 147 - If ‘TEU type’ is ‘TEU’ then ‘TEU Id’ is required</v>
      </c>
      <c r="I654" s="236" t="s">
        <v>1853</v>
      </c>
      <c r="J654" s="52" t="b">
        <f>IF(OR(INDEX(OHZ_HAZ_UNITTYPE,147,1)="TEU",),INDEX(OHZ_HAZ_TEUID,147,1)&lt;&gt;"",TRUE)</f>
        <v>1</v>
      </c>
      <c r="K654" s="52" t="str">
        <f t="shared" si="22"/>
        <v>Row 147 - If ‘TEU type’ is ‘TEU’ then ‘TEU Id’ is required</v>
      </c>
      <c r="L654" s="236" t="s">
        <v>1853</v>
      </c>
    </row>
    <row r="655" spans="7:12">
      <c r="G655" s="250" t="b">
        <f>IF(OR(INDEX(IHZ_HAZ_UNITTYPE,148,1)="TEU",),INDEX(IHZ_HAZ_TEUID,148,1)&lt;&gt;"",TRUE)</f>
        <v>1</v>
      </c>
      <c r="H655" s="52" t="str">
        <f t="shared" si="21"/>
        <v>Row 148 - If ‘TEU type’ is ‘TEU’ then ‘TEU Id’ is required</v>
      </c>
      <c r="I655" s="236" t="s">
        <v>1853</v>
      </c>
      <c r="J655" s="52" t="b">
        <f>IF(OR(INDEX(OHZ_HAZ_UNITTYPE,148,1)="TEU",),INDEX(OHZ_HAZ_TEUID,148,1)&lt;&gt;"",TRUE)</f>
        <v>1</v>
      </c>
      <c r="K655" s="52" t="str">
        <f t="shared" si="22"/>
        <v>Row 148 - If ‘TEU type’ is ‘TEU’ then ‘TEU Id’ is required</v>
      </c>
      <c r="L655" s="236" t="s">
        <v>1853</v>
      </c>
    </row>
    <row r="656" spans="7:12">
      <c r="G656" s="250" t="b">
        <f>IF(OR(INDEX(IHZ_HAZ_UNITTYPE,149,1)="TEU",),INDEX(IHZ_HAZ_TEUID,149,1)&lt;&gt;"",TRUE)</f>
        <v>1</v>
      </c>
      <c r="H656" s="52" t="str">
        <f t="shared" si="21"/>
        <v>Row 149 - If ‘TEU type’ is ‘TEU’ then ‘TEU Id’ is required</v>
      </c>
      <c r="I656" s="236" t="s">
        <v>1853</v>
      </c>
      <c r="J656" s="52" t="b">
        <f>IF(OR(INDEX(OHZ_HAZ_UNITTYPE,149,1)="TEU",),INDEX(OHZ_HAZ_TEUID,149,1)&lt;&gt;"",TRUE)</f>
        <v>1</v>
      </c>
      <c r="K656" s="52" t="str">
        <f t="shared" si="22"/>
        <v>Row 149 - If ‘TEU type’ is ‘TEU’ then ‘TEU Id’ is required</v>
      </c>
      <c r="L656" s="236" t="s">
        <v>1853</v>
      </c>
    </row>
    <row r="657" spans="7:12">
      <c r="G657" s="250" t="b">
        <f>IF(OR(INDEX(IHZ_HAZ_UNITTYPE,150,1)="TEU",),INDEX(IHZ_HAZ_TEUID,150,1)&lt;&gt;"",TRUE)</f>
        <v>1</v>
      </c>
      <c r="H657" s="52" t="str">
        <f t="shared" si="21"/>
        <v>Row 150 - If ‘TEU type’ is ‘TEU’ then ‘TEU Id’ is required</v>
      </c>
      <c r="I657" s="236" t="s">
        <v>1853</v>
      </c>
      <c r="J657" s="52" t="b">
        <f>IF(OR(INDEX(OHZ_HAZ_UNITTYPE,150,1)="TEU",),INDEX(OHZ_HAZ_TEUID,150,1)&lt;&gt;"",TRUE)</f>
        <v>1</v>
      </c>
      <c r="K657" s="52" t="str">
        <f t="shared" si="22"/>
        <v>Row 150 - If ‘TEU type’ is ‘TEU’ then ‘TEU Id’ is required</v>
      </c>
      <c r="L657" s="236" t="s">
        <v>1853</v>
      </c>
    </row>
    <row r="658" spans="7:12">
      <c r="G658" s="250" t="b">
        <f>IF(OR(INDEX(IHZ_HAZ_UNITTYPE,151,1)="TEU",),INDEX(IHZ_HAZ_TEUID,151,1)&lt;&gt;"",TRUE)</f>
        <v>1</v>
      </c>
      <c r="H658" s="52" t="str">
        <f t="shared" si="21"/>
        <v>Row 151 - If ‘TEU type’ is ‘TEU’ then ‘TEU Id’ is required</v>
      </c>
      <c r="I658" s="236" t="s">
        <v>1853</v>
      </c>
      <c r="J658" s="52" t="b">
        <f>IF(OR(INDEX(OHZ_HAZ_UNITTYPE,151,1)="TEU",),INDEX(OHZ_HAZ_TEUID,151,1)&lt;&gt;"",TRUE)</f>
        <v>1</v>
      </c>
      <c r="K658" s="52" t="str">
        <f t="shared" si="22"/>
        <v>Row 151 - If ‘TEU type’ is ‘TEU’ then ‘TEU Id’ is required</v>
      </c>
      <c r="L658" s="236" t="s">
        <v>1853</v>
      </c>
    </row>
    <row r="659" spans="7:12">
      <c r="G659" s="250" t="b">
        <f>IF(OR(INDEX(IHZ_HAZ_UNITTYPE,152,1)="TEU",),INDEX(IHZ_HAZ_TEUID,152,1)&lt;&gt;"",TRUE)</f>
        <v>1</v>
      </c>
      <c r="H659" s="52" t="str">
        <f t="shared" si="21"/>
        <v>Row 152 - If ‘TEU type’ is ‘TEU’ then ‘TEU Id’ is required</v>
      </c>
      <c r="I659" s="236" t="s">
        <v>1853</v>
      </c>
      <c r="J659" s="52" t="b">
        <f>IF(OR(INDEX(OHZ_HAZ_UNITTYPE,152,1)="TEU",),INDEX(OHZ_HAZ_TEUID,152,1)&lt;&gt;"",TRUE)</f>
        <v>1</v>
      </c>
      <c r="K659" s="52" t="str">
        <f t="shared" si="22"/>
        <v>Row 152 - If ‘TEU type’ is ‘TEU’ then ‘TEU Id’ is required</v>
      </c>
      <c r="L659" s="236" t="s">
        <v>1853</v>
      </c>
    </row>
    <row r="660" spans="7:12">
      <c r="G660" s="250" t="b">
        <f>IF(OR(INDEX(IHZ_HAZ_UNITTYPE,153,1)="TEU",),INDEX(IHZ_HAZ_TEUID,153,1)&lt;&gt;"",TRUE)</f>
        <v>1</v>
      </c>
      <c r="H660" s="52" t="str">
        <f t="shared" si="21"/>
        <v>Row 153 - If ‘TEU type’ is ‘TEU’ then ‘TEU Id’ is required</v>
      </c>
      <c r="I660" s="236" t="s">
        <v>1853</v>
      </c>
      <c r="J660" s="52" t="b">
        <f>IF(OR(INDEX(OHZ_HAZ_UNITTYPE,153,1)="TEU",),INDEX(OHZ_HAZ_TEUID,153,1)&lt;&gt;"",TRUE)</f>
        <v>1</v>
      </c>
      <c r="K660" s="52" t="str">
        <f t="shared" si="22"/>
        <v>Row 153 - If ‘TEU type’ is ‘TEU’ then ‘TEU Id’ is required</v>
      </c>
      <c r="L660" s="236" t="s">
        <v>1853</v>
      </c>
    </row>
    <row r="661" spans="7:12">
      <c r="G661" s="250" t="b">
        <f>IF(OR(INDEX(IHZ_HAZ_UNITTYPE,154,1)="TEU",),INDEX(IHZ_HAZ_TEUID,154,1)&lt;&gt;"",TRUE)</f>
        <v>1</v>
      </c>
      <c r="H661" s="52" t="str">
        <f t="shared" si="21"/>
        <v>Row 154 - If ‘TEU type’ is ‘TEU’ then ‘TEU Id’ is required</v>
      </c>
      <c r="I661" s="236" t="s">
        <v>1853</v>
      </c>
      <c r="J661" s="52" t="b">
        <f>IF(OR(INDEX(OHZ_HAZ_UNITTYPE,154,1)="TEU",),INDEX(OHZ_HAZ_TEUID,154,1)&lt;&gt;"",TRUE)</f>
        <v>1</v>
      </c>
      <c r="K661" s="52" t="str">
        <f t="shared" si="22"/>
        <v>Row 154 - If ‘TEU type’ is ‘TEU’ then ‘TEU Id’ is required</v>
      </c>
      <c r="L661" s="236" t="s">
        <v>1853</v>
      </c>
    </row>
    <row r="662" spans="7:12">
      <c r="G662" s="250" t="b">
        <f>IF(OR(INDEX(IHZ_HAZ_UNITTYPE,155,1)="TEU",),INDEX(IHZ_HAZ_TEUID,155,1)&lt;&gt;"",TRUE)</f>
        <v>1</v>
      </c>
      <c r="H662" s="52" t="str">
        <f t="shared" si="21"/>
        <v>Row 155 - If ‘TEU type’ is ‘TEU’ then ‘TEU Id’ is required</v>
      </c>
      <c r="I662" s="236" t="s">
        <v>1853</v>
      </c>
      <c r="J662" s="52" t="b">
        <f>IF(OR(INDEX(OHZ_HAZ_UNITTYPE,155,1)="TEU",),INDEX(OHZ_HAZ_TEUID,155,1)&lt;&gt;"",TRUE)</f>
        <v>1</v>
      </c>
      <c r="K662" s="52" t="str">
        <f t="shared" si="22"/>
        <v>Row 155 - If ‘TEU type’ is ‘TEU’ then ‘TEU Id’ is required</v>
      </c>
      <c r="L662" s="236" t="s">
        <v>1853</v>
      </c>
    </row>
    <row r="663" spans="7:12">
      <c r="G663" s="250" t="b">
        <f>IF(OR(INDEX(IHZ_HAZ_UNITTYPE,156,1)="TEU",),INDEX(IHZ_HAZ_TEUID,156,1)&lt;&gt;"",TRUE)</f>
        <v>1</v>
      </c>
      <c r="H663" s="52" t="str">
        <f t="shared" si="21"/>
        <v>Row 156 - If ‘TEU type’ is ‘TEU’ then ‘TEU Id’ is required</v>
      </c>
      <c r="I663" s="236" t="s">
        <v>1853</v>
      </c>
      <c r="J663" s="52" t="b">
        <f>IF(OR(INDEX(OHZ_HAZ_UNITTYPE,156,1)="TEU",),INDEX(OHZ_HAZ_TEUID,156,1)&lt;&gt;"",TRUE)</f>
        <v>1</v>
      </c>
      <c r="K663" s="52" t="str">
        <f t="shared" si="22"/>
        <v>Row 156 - If ‘TEU type’ is ‘TEU’ then ‘TEU Id’ is required</v>
      </c>
      <c r="L663" s="236" t="s">
        <v>1853</v>
      </c>
    </row>
    <row r="664" spans="7:12">
      <c r="G664" s="250" t="b">
        <f>IF(OR(INDEX(IHZ_HAZ_UNITTYPE,157,1)="TEU",),INDEX(IHZ_HAZ_TEUID,157,1)&lt;&gt;"",TRUE)</f>
        <v>1</v>
      </c>
      <c r="H664" s="52" t="str">
        <f t="shared" si="21"/>
        <v>Row 157 - If ‘TEU type’ is ‘TEU’ then ‘TEU Id’ is required</v>
      </c>
      <c r="I664" s="236" t="s">
        <v>1853</v>
      </c>
      <c r="J664" s="52" t="b">
        <f>IF(OR(INDEX(OHZ_HAZ_UNITTYPE,157,1)="TEU",),INDEX(OHZ_HAZ_TEUID,157,1)&lt;&gt;"",TRUE)</f>
        <v>1</v>
      </c>
      <c r="K664" s="52" t="str">
        <f t="shared" si="22"/>
        <v>Row 157 - If ‘TEU type’ is ‘TEU’ then ‘TEU Id’ is required</v>
      </c>
      <c r="L664" s="236" t="s">
        <v>1853</v>
      </c>
    </row>
    <row r="665" spans="7:12">
      <c r="G665" s="250" t="b">
        <f>IF(OR(INDEX(IHZ_HAZ_UNITTYPE,158,1)="TEU",),INDEX(IHZ_HAZ_TEUID,158,1)&lt;&gt;"",TRUE)</f>
        <v>1</v>
      </c>
      <c r="H665" s="52" t="str">
        <f t="shared" si="21"/>
        <v>Row 158 - If ‘TEU type’ is ‘TEU’ then ‘TEU Id’ is required</v>
      </c>
      <c r="I665" s="236" t="s">
        <v>1853</v>
      </c>
      <c r="J665" s="52" t="b">
        <f>IF(OR(INDEX(OHZ_HAZ_UNITTYPE,158,1)="TEU",),INDEX(OHZ_HAZ_TEUID,158,1)&lt;&gt;"",TRUE)</f>
        <v>1</v>
      </c>
      <c r="K665" s="52" t="str">
        <f t="shared" si="22"/>
        <v>Row 158 - If ‘TEU type’ is ‘TEU’ then ‘TEU Id’ is required</v>
      </c>
      <c r="L665" s="236" t="s">
        <v>1853</v>
      </c>
    </row>
    <row r="666" spans="7:12">
      <c r="G666" s="250" t="b">
        <f>IF(OR(INDEX(IHZ_HAZ_UNITTYPE,159,1)="TEU",),INDEX(IHZ_HAZ_TEUID,159,1)&lt;&gt;"",TRUE)</f>
        <v>1</v>
      </c>
      <c r="H666" s="52" t="str">
        <f t="shared" si="21"/>
        <v>Row 159 - If ‘TEU type’ is ‘TEU’ then ‘TEU Id’ is required</v>
      </c>
      <c r="I666" s="236" t="s">
        <v>1853</v>
      </c>
      <c r="J666" s="52" t="b">
        <f>IF(OR(INDEX(OHZ_HAZ_UNITTYPE,159,1)="TEU",),INDEX(OHZ_HAZ_TEUID,159,1)&lt;&gt;"",TRUE)</f>
        <v>1</v>
      </c>
      <c r="K666" s="52" t="str">
        <f t="shared" si="22"/>
        <v>Row 159 - If ‘TEU type’ is ‘TEU’ then ‘TEU Id’ is required</v>
      </c>
      <c r="L666" s="236" t="s">
        <v>1853</v>
      </c>
    </row>
    <row r="667" spans="7:12">
      <c r="G667" s="250" t="b">
        <f>IF(OR(INDEX(IHZ_HAZ_UNITTYPE,160,1)="TEU",),INDEX(IHZ_HAZ_TEUID,160,1)&lt;&gt;"",TRUE)</f>
        <v>1</v>
      </c>
      <c r="H667" s="52" t="str">
        <f t="shared" si="21"/>
        <v>Row 160 - If ‘TEU type’ is ‘TEU’ then ‘TEU Id’ is required</v>
      </c>
      <c r="I667" s="236" t="s">
        <v>1853</v>
      </c>
      <c r="J667" s="52" t="b">
        <f>IF(OR(INDEX(OHZ_HAZ_UNITTYPE,160,1)="TEU",),INDEX(OHZ_HAZ_TEUID,160,1)&lt;&gt;"",TRUE)</f>
        <v>1</v>
      </c>
      <c r="K667" s="52" t="str">
        <f t="shared" si="22"/>
        <v>Row 160 - If ‘TEU type’ is ‘TEU’ then ‘TEU Id’ is required</v>
      </c>
      <c r="L667" s="236" t="s">
        <v>1853</v>
      </c>
    </row>
    <row r="668" spans="7:12">
      <c r="G668" s="250" t="b">
        <f>IF(OR(INDEX(IHZ_HAZ_UNITTYPE,161,1)="TEU",),INDEX(IHZ_HAZ_TEUID,161,1)&lt;&gt;"",TRUE)</f>
        <v>1</v>
      </c>
      <c r="H668" s="52" t="str">
        <f t="shared" si="21"/>
        <v>Row 161 - If ‘TEU type’ is ‘TEU’ then ‘TEU Id’ is required</v>
      </c>
      <c r="I668" s="236" t="s">
        <v>1853</v>
      </c>
      <c r="J668" s="52" t="b">
        <f>IF(OR(INDEX(OHZ_HAZ_UNITTYPE,161,1)="TEU",),INDEX(OHZ_HAZ_TEUID,161,1)&lt;&gt;"",TRUE)</f>
        <v>1</v>
      </c>
      <c r="K668" s="52" t="str">
        <f t="shared" si="22"/>
        <v>Row 161 - If ‘TEU type’ is ‘TEU’ then ‘TEU Id’ is required</v>
      </c>
      <c r="L668" s="236" t="s">
        <v>1853</v>
      </c>
    </row>
    <row r="669" spans="7:12">
      <c r="G669" s="250" t="b">
        <f>IF(OR(INDEX(IHZ_HAZ_UNITTYPE,162,1)="TEU",),INDEX(IHZ_HAZ_TEUID,162,1)&lt;&gt;"",TRUE)</f>
        <v>1</v>
      </c>
      <c r="H669" s="52" t="str">
        <f t="shared" si="21"/>
        <v>Row 162 - If ‘TEU type’ is ‘TEU’ then ‘TEU Id’ is required</v>
      </c>
      <c r="I669" s="236" t="s">
        <v>1853</v>
      </c>
      <c r="J669" s="52" t="b">
        <f>IF(OR(INDEX(OHZ_HAZ_UNITTYPE,162,1)="TEU",),INDEX(OHZ_HAZ_TEUID,162,1)&lt;&gt;"",TRUE)</f>
        <v>1</v>
      </c>
      <c r="K669" s="52" t="str">
        <f t="shared" si="22"/>
        <v>Row 162 - If ‘TEU type’ is ‘TEU’ then ‘TEU Id’ is required</v>
      </c>
      <c r="L669" s="236" t="s">
        <v>1853</v>
      </c>
    </row>
    <row r="670" spans="7:12">
      <c r="G670" s="250" t="b">
        <f>IF(OR(INDEX(IHZ_HAZ_UNITTYPE,163,1)="TEU",),INDEX(IHZ_HAZ_TEUID,163,1)&lt;&gt;"",TRUE)</f>
        <v>1</v>
      </c>
      <c r="H670" s="52" t="str">
        <f t="shared" si="21"/>
        <v>Row 163 - If ‘TEU type’ is ‘TEU’ then ‘TEU Id’ is required</v>
      </c>
      <c r="I670" s="236" t="s">
        <v>1853</v>
      </c>
      <c r="J670" s="52" t="b">
        <f>IF(OR(INDEX(OHZ_HAZ_UNITTYPE,163,1)="TEU",),INDEX(OHZ_HAZ_TEUID,163,1)&lt;&gt;"",TRUE)</f>
        <v>1</v>
      </c>
      <c r="K670" s="52" t="str">
        <f t="shared" si="22"/>
        <v>Row 163 - If ‘TEU type’ is ‘TEU’ then ‘TEU Id’ is required</v>
      </c>
      <c r="L670" s="236" t="s">
        <v>1853</v>
      </c>
    </row>
    <row r="671" spans="7:12">
      <c r="G671" s="250" t="b">
        <f>IF(OR(INDEX(IHZ_HAZ_UNITTYPE,164,1)="TEU",),INDEX(IHZ_HAZ_TEUID,164,1)&lt;&gt;"",TRUE)</f>
        <v>1</v>
      </c>
      <c r="H671" s="52" t="str">
        <f t="shared" si="21"/>
        <v>Row 164 - If ‘TEU type’ is ‘TEU’ then ‘TEU Id’ is required</v>
      </c>
      <c r="I671" s="236" t="s">
        <v>1853</v>
      </c>
      <c r="J671" s="52" t="b">
        <f>IF(OR(INDEX(OHZ_HAZ_UNITTYPE,164,1)="TEU",),INDEX(OHZ_HAZ_TEUID,164,1)&lt;&gt;"",TRUE)</f>
        <v>1</v>
      </c>
      <c r="K671" s="52" t="str">
        <f t="shared" si="22"/>
        <v>Row 164 - If ‘TEU type’ is ‘TEU’ then ‘TEU Id’ is required</v>
      </c>
      <c r="L671" s="236" t="s">
        <v>1853</v>
      </c>
    </row>
    <row r="672" spans="7:12">
      <c r="G672" s="250" t="b">
        <f>IF(OR(INDEX(IHZ_HAZ_UNITTYPE,165,1)="TEU",),INDEX(IHZ_HAZ_TEUID,165,1)&lt;&gt;"",TRUE)</f>
        <v>1</v>
      </c>
      <c r="H672" s="52" t="str">
        <f t="shared" si="21"/>
        <v>Row 165 - If ‘TEU type’ is ‘TEU’ then ‘TEU Id’ is required</v>
      </c>
      <c r="I672" s="236" t="s">
        <v>1853</v>
      </c>
      <c r="J672" s="52" t="b">
        <f>IF(OR(INDEX(OHZ_HAZ_UNITTYPE,165,1)="TEU",),INDEX(OHZ_HAZ_TEUID,165,1)&lt;&gt;"",TRUE)</f>
        <v>1</v>
      </c>
      <c r="K672" s="52" t="str">
        <f t="shared" si="22"/>
        <v>Row 165 - If ‘TEU type’ is ‘TEU’ then ‘TEU Id’ is required</v>
      </c>
      <c r="L672" s="236" t="s">
        <v>1853</v>
      </c>
    </row>
    <row r="673" spans="7:12">
      <c r="G673" s="250" t="b">
        <f>IF(OR(INDEX(IHZ_HAZ_UNITTYPE,166,1)="TEU",),INDEX(IHZ_HAZ_TEUID,166,1)&lt;&gt;"",TRUE)</f>
        <v>1</v>
      </c>
      <c r="H673" s="52" t="str">
        <f t="shared" si="21"/>
        <v>Row 166 - If ‘TEU type’ is ‘TEU’ then ‘TEU Id’ is required</v>
      </c>
      <c r="I673" s="236" t="s">
        <v>1853</v>
      </c>
      <c r="J673" s="52" t="b">
        <f>IF(OR(INDEX(OHZ_HAZ_UNITTYPE,166,1)="TEU",),INDEX(OHZ_HAZ_TEUID,166,1)&lt;&gt;"",TRUE)</f>
        <v>1</v>
      </c>
      <c r="K673" s="52" t="str">
        <f t="shared" si="22"/>
        <v>Row 166 - If ‘TEU type’ is ‘TEU’ then ‘TEU Id’ is required</v>
      </c>
      <c r="L673" s="236" t="s">
        <v>1853</v>
      </c>
    </row>
    <row r="674" spans="7:12">
      <c r="G674" s="250" t="b">
        <f>IF(OR(INDEX(IHZ_HAZ_UNITTYPE,167,1)="TEU",),INDEX(IHZ_HAZ_TEUID,167,1)&lt;&gt;"",TRUE)</f>
        <v>1</v>
      </c>
      <c r="H674" s="52" t="str">
        <f t="shared" si="21"/>
        <v>Row 167 - If ‘TEU type’ is ‘TEU’ then ‘TEU Id’ is required</v>
      </c>
      <c r="I674" s="236" t="s">
        <v>1853</v>
      </c>
      <c r="J674" s="52" t="b">
        <f>IF(OR(INDEX(OHZ_HAZ_UNITTYPE,167,1)="TEU",),INDEX(OHZ_HAZ_TEUID,167,1)&lt;&gt;"",TRUE)</f>
        <v>1</v>
      </c>
      <c r="K674" s="52" t="str">
        <f t="shared" si="22"/>
        <v>Row 167 - If ‘TEU type’ is ‘TEU’ then ‘TEU Id’ is required</v>
      </c>
      <c r="L674" s="236" t="s">
        <v>1853</v>
      </c>
    </row>
    <row r="675" spans="7:12">
      <c r="G675" s="250" t="b">
        <f>IF(OR(INDEX(IHZ_HAZ_UNITTYPE,168,1)="TEU",),INDEX(IHZ_HAZ_TEUID,168,1)&lt;&gt;"",TRUE)</f>
        <v>1</v>
      </c>
      <c r="H675" s="52" t="str">
        <f t="shared" si="21"/>
        <v>Row 168 - If ‘TEU type’ is ‘TEU’ then ‘TEU Id’ is required</v>
      </c>
      <c r="I675" s="236" t="s">
        <v>1853</v>
      </c>
      <c r="J675" s="52" t="b">
        <f>IF(OR(INDEX(OHZ_HAZ_UNITTYPE,168,1)="TEU",),INDEX(OHZ_HAZ_TEUID,168,1)&lt;&gt;"",TRUE)</f>
        <v>1</v>
      </c>
      <c r="K675" s="52" t="str">
        <f t="shared" si="22"/>
        <v>Row 168 - If ‘TEU type’ is ‘TEU’ then ‘TEU Id’ is required</v>
      </c>
      <c r="L675" s="236" t="s">
        <v>1853</v>
      </c>
    </row>
    <row r="676" spans="7:12">
      <c r="G676" s="250" t="b">
        <f>IF(OR(INDEX(IHZ_HAZ_UNITTYPE,169,1)="TEU",),INDEX(IHZ_HAZ_TEUID,169,1)&lt;&gt;"",TRUE)</f>
        <v>1</v>
      </c>
      <c r="H676" s="52" t="str">
        <f t="shared" si="21"/>
        <v>Row 169 - If ‘TEU type’ is ‘TEU’ then ‘TEU Id’ is required</v>
      </c>
      <c r="I676" s="236" t="s">
        <v>1853</v>
      </c>
      <c r="J676" s="52" t="b">
        <f>IF(OR(INDEX(OHZ_HAZ_UNITTYPE,169,1)="TEU",),INDEX(OHZ_HAZ_TEUID,169,1)&lt;&gt;"",TRUE)</f>
        <v>1</v>
      </c>
      <c r="K676" s="52" t="str">
        <f t="shared" si="22"/>
        <v>Row 169 - If ‘TEU type’ is ‘TEU’ then ‘TEU Id’ is required</v>
      </c>
      <c r="L676" s="236" t="s">
        <v>1853</v>
      </c>
    </row>
    <row r="677" spans="7:12">
      <c r="G677" s="250" t="b">
        <f>IF(OR(INDEX(IHZ_HAZ_UNITTYPE,170,1)="TEU",),INDEX(IHZ_HAZ_TEUID,170,1)&lt;&gt;"",TRUE)</f>
        <v>1</v>
      </c>
      <c r="H677" s="52" t="str">
        <f t="shared" si="21"/>
        <v>Row 170 - If ‘TEU type’ is ‘TEU’ then ‘TEU Id’ is required</v>
      </c>
      <c r="I677" s="236" t="s">
        <v>1853</v>
      </c>
      <c r="J677" s="52" t="b">
        <f>IF(OR(INDEX(OHZ_HAZ_UNITTYPE,170,1)="TEU",),INDEX(OHZ_HAZ_TEUID,170,1)&lt;&gt;"",TRUE)</f>
        <v>1</v>
      </c>
      <c r="K677" s="52" t="str">
        <f t="shared" si="22"/>
        <v>Row 170 - If ‘TEU type’ is ‘TEU’ then ‘TEU Id’ is required</v>
      </c>
      <c r="L677" s="236" t="s">
        <v>1853</v>
      </c>
    </row>
    <row r="678" spans="7:12">
      <c r="G678" s="250" t="b">
        <f>IF(OR(INDEX(IHZ_HAZ_UNITTYPE,171,1)="TEU",),INDEX(IHZ_HAZ_TEUID,171,1)&lt;&gt;"",TRUE)</f>
        <v>1</v>
      </c>
      <c r="H678" s="52" t="str">
        <f t="shared" si="21"/>
        <v>Row 171 - If ‘TEU type’ is ‘TEU’ then ‘TEU Id’ is required</v>
      </c>
      <c r="I678" s="236" t="s">
        <v>1853</v>
      </c>
      <c r="J678" s="52" t="b">
        <f>IF(OR(INDEX(OHZ_HAZ_UNITTYPE,171,1)="TEU",),INDEX(OHZ_HAZ_TEUID,171,1)&lt;&gt;"",TRUE)</f>
        <v>1</v>
      </c>
      <c r="K678" s="52" t="str">
        <f t="shared" si="22"/>
        <v>Row 171 - If ‘TEU type’ is ‘TEU’ then ‘TEU Id’ is required</v>
      </c>
      <c r="L678" s="236" t="s">
        <v>1853</v>
      </c>
    </row>
    <row r="679" spans="7:12">
      <c r="G679" s="250" t="b">
        <f>IF(OR(INDEX(IHZ_HAZ_UNITTYPE,172,1)="TEU",),INDEX(IHZ_HAZ_TEUID,172,1)&lt;&gt;"",TRUE)</f>
        <v>1</v>
      </c>
      <c r="H679" s="52" t="str">
        <f t="shared" si="21"/>
        <v>Row 172 - If ‘TEU type’ is ‘TEU’ then ‘TEU Id’ is required</v>
      </c>
      <c r="I679" s="236" t="s">
        <v>1853</v>
      </c>
      <c r="J679" s="52" t="b">
        <f>IF(OR(INDEX(OHZ_HAZ_UNITTYPE,172,1)="TEU",),INDEX(OHZ_HAZ_TEUID,172,1)&lt;&gt;"",TRUE)</f>
        <v>1</v>
      </c>
      <c r="K679" s="52" t="str">
        <f t="shared" si="22"/>
        <v>Row 172 - If ‘TEU type’ is ‘TEU’ then ‘TEU Id’ is required</v>
      </c>
      <c r="L679" s="236" t="s">
        <v>1853</v>
      </c>
    </row>
    <row r="680" spans="7:12">
      <c r="G680" s="250" t="b">
        <f>IF(OR(INDEX(IHZ_HAZ_UNITTYPE,173,1)="TEU",),INDEX(IHZ_HAZ_TEUID,173,1)&lt;&gt;"",TRUE)</f>
        <v>1</v>
      </c>
      <c r="H680" s="52" t="str">
        <f t="shared" si="21"/>
        <v>Row 173 - If ‘TEU type’ is ‘TEU’ then ‘TEU Id’ is required</v>
      </c>
      <c r="I680" s="236" t="s">
        <v>1853</v>
      </c>
      <c r="J680" s="52" t="b">
        <f>IF(OR(INDEX(OHZ_HAZ_UNITTYPE,173,1)="TEU",),INDEX(OHZ_HAZ_TEUID,173,1)&lt;&gt;"",TRUE)</f>
        <v>1</v>
      </c>
      <c r="K680" s="52" t="str">
        <f t="shared" si="22"/>
        <v>Row 173 - If ‘TEU type’ is ‘TEU’ then ‘TEU Id’ is required</v>
      </c>
      <c r="L680" s="236" t="s">
        <v>1853</v>
      </c>
    </row>
    <row r="681" spans="7:12">
      <c r="G681" s="250" t="b">
        <f>IF(OR(INDEX(IHZ_HAZ_UNITTYPE,174,1)="TEU",),INDEX(IHZ_HAZ_TEUID,174,1)&lt;&gt;"",TRUE)</f>
        <v>1</v>
      </c>
      <c r="H681" s="52" t="str">
        <f t="shared" si="21"/>
        <v>Row 174 - If ‘TEU type’ is ‘TEU’ then ‘TEU Id’ is required</v>
      </c>
      <c r="I681" s="236" t="s">
        <v>1853</v>
      </c>
      <c r="J681" s="52" t="b">
        <f>IF(OR(INDEX(OHZ_HAZ_UNITTYPE,174,1)="TEU",),INDEX(OHZ_HAZ_TEUID,174,1)&lt;&gt;"",TRUE)</f>
        <v>1</v>
      </c>
      <c r="K681" s="52" t="str">
        <f t="shared" si="22"/>
        <v>Row 174 - If ‘TEU type’ is ‘TEU’ then ‘TEU Id’ is required</v>
      </c>
      <c r="L681" s="236" t="s">
        <v>1853</v>
      </c>
    </row>
    <row r="682" spans="7:12">
      <c r="G682" s="250" t="b">
        <f>IF(OR(INDEX(IHZ_HAZ_UNITTYPE,175,1)="TEU",),INDEX(IHZ_HAZ_TEUID,175,1)&lt;&gt;"",TRUE)</f>
        <v>1</v>
      </c>
      <c r="H682" s="52" t="str">
        <f t="shared" si="21"/>
        <v>Row 175 - If ‘TEU type’ is ‘TEU’ then ‘TEU Id’ is required</v>
      </c>
      <c r="I682" s="236" t="s">
        <v>1853</v>
      </c>
      <c r="J682" s="52" t="b">
        <f>IF(OR(INDEX(OHZ_HAZ_UNITTYPE,175,1)="TEU",),INDEX(OHZ_HAZ_TEUID,175,1)&lt;&gt;"",TRUE)</f>
        <v>1</v>
      </c>
      <c r="K682" s="52" t="str">
        <f t="shared" si="22"/>
        <v>Row 175 - If ‘TEU type’ is ‘TEU’ then ‘TEU Id’ is required</v>
      </c>
      <c r="L682" s="236" t="s">
        <v>1853</v>
      </c>
    </row>
    <row r="683" spans="7:12">
      <c r="G683" s="250" t="b">
        <f>IF(OR(INDEX(IHZ_HAZ_UNITTYPE,176,1)="TEU",),INDEX(IHZ_HAZ_TEUID,176,1)&lt;&gt;"",TRUE)</f>
        <v>1</v>
      </c>
      <c r="H683" s="52" t="str">
        <f t="shared" si="21"/>
        <v>Row 176 - If ‘TEU type’ is ‘TEU’ then ‘TEU Id’ is required</v>
      </c>
      <c r="I683" s="236" t="s">
        <v>1853</v>
      </c>
      <c r="J683" s="52" t="b">
        <f>IF(OR(INDEX(OHZ_HAZ_UNITTYPE,176,1)="TEU",),INDEX(OHZ_HAZ_TEUID,176,1)&lt;&gt;"",TRUE)</f>
        <v>1</v>
      </c>
      <c r="K683" s="52" t="str">
        <f t="shared" si="22"/>
        <v>Row 176 - If ‘TEU type’ is ‘TEU’ then ‘TEU Id’ is required</v>
      </c>
      <c r="L683" s="236" t="s">
        <v>1853</v>
      </c>
    </row>
    <row r="684" spans="7:12">
      <c r="G684" s="250" t="b">
        <f>IF(OR(INDEX(IHZ_HAZ_UNITTYPE,177,1)="TEU",),INDEX(IHZ_HAZ_TEUID,177,1)&lt;&gt;"",TRUE)</f>
        <v>1</v>
      </c>
      <c r="H684" s="52" t="str">
        <f t="shared" si="21"/>
        <v>Row 177 - If ‘TEU type’ is ‘TEU’ then ‘TEU Id’ is required</v>
      </c>
      <c r="I684" s="236" t="s">
        <v>1853</v>
      </c>
      <c r="J684" s="52" t="b">
        <f>IF(OR(INDEX(OHZ_HAZ_UNITTYPE,177,1)="TEU",),INDEX(OHZ_HAZ_TEUID,177,1)&lt;&gt;"",TRUE)</f>
        <v>1</v>
      </c>
      <c r="K684" s="52" t="str">
        <f t="shared" si="22"/>
        <v>Row 177 - If ‘TEU type’ is ‘TEU’ then ‘TEU Id’ is required</v>
      </c>
      <c r="L684" s="236" t="s">
        <v>1853</v>
      </c>
    </row>
    <row r="685" spans="7:12">
      <c r="G685" s="250" t="b">
        <f>IF(OR(INDEX(IHZ_HAZ_UNITTYPE,178,1)="TEU",),INDEX(IHZ_HAZ_TEUID,178,1)&lt;&gt;"",TRUE)</f>
        <v>1</v>
      </c>
      <c r="H685" s="52" t="str">
        <f t="shared" si="21"/>
        <v>Row 178 - If ‘TEU type’ is ‘TEU’ then ‘TEU Id’ is required</v>
      </c>
      <c r="I685" s="236" t="s">
        <v>1853</v>
      </c>
      <c r="J685" s="52" t="b">
        <f>IF(OR(INDEX(OHZ_HAZ_UNITTYPE,178,1)="TEU",),INDEX(OHZ_HAZ_TEUID,178,1)&lt;&gt;"",TRUE)</f>
        <v>1</v>
      </c>
      <c r="K685" s="52" t="str">
        <f t="shared" si="22"/>
        <v>Row 178 - If ‘TEU type’ is ‘TEU’ then ‘TEU Id’ is required</v>
      </c>
      <c r="L685" s="236" t="s">
        <v>1853</v>
      </c>
    </row>
    <row r="686" spans="7:12">
      <c r="G686" s="250" t="b">
        <f>IF(OR(INDEX(IHZ_HAZ_UNITTYPE,179,1)="TEU",),INDEX(IHZ_HAZ_TEUID,179,1)&lt;&gt;"",TRUE)</f>
        <v>1</v>
      </c>
      <c r="H686" s="52" t="str">
        <f t="shared" si="21"/>
        <v>Row 179 - If ‘TEU type’ is ‘TEU’ then ‘TEU Id’ is required</v>
      </c>
      <c r="I686" s="236" t="s">
        <v>1853</v>
      </c>
      <c r="J686" s="52" t="b">
        <f>IF(OR(INDEX(OHZ_HAZ_UNITTYPE,179,1)="TEU",),INDEX(OHZ_HAZ_TEUID,179,1)&lt;&gt;"",TRUE)</f>
        <v>1</v>
      </c>
      <c r="K686" s="52" t="str">
        <f t="shared" si="22"/>
        <v>Row 179 - If ‘TEU type’ is ‘TEU’ then ‘TEU Id’ is required</v>
      </c>
      <c r="L686" s="236" t="s">
        <v>1853</v>
      </c>
    </row>
    <row r="687" spans="7:12">
      <c r="G687" s="250" t="b">
        <f>IF(OR(INDEX(IHZ_HAZ_UNITTYPE,180,1)="TEU",),INDEX(IHZ_HAZ_TEUID,180,1)&lt;&gt;"",TRUE)</f>
        <v>1</v>
      </c>
      <c r="H687" s="52" t="str">
        <f t="shared" si="21"/>
        <v>Row 180 - If ‘TEU type’ is ‘TEU’ then ‘TEU Id’ is required</v>
      </c>
      <c r="I687" s="236" t="s">
        <v>1853</v>
      </c>
      <c r="J687" s="52" t="b">
        <f>IF(OR(INDEX(OHZ_HAZ_UNITTYPE,180,1)="TEU",),INDEX(OHZ_HAZ_TEUID,180,1)&lt;&gt;"",TRUE)</f>
        <v>1</v>
      </c>
      <c r="K687" s="52" t="str">
        <f t="shared" si="22"/>
        <v>Row 180 - If ‘TEU type’ is ‘TEU’ then ‘TEU Id’ is required</v>
      </c>
      <c r="L687" s="236" t="s">
        <v>1853</v>
      </c>
    </row>
    <row r="688" spans="7:12">
      <c r="G688" s="250" t="b">
        <f>IF(OR(INDEX(IHZ_HAZ_UNITTYPE,181,1)="TEU",),INDEX(IHZ_HAZ_TEUID,181,1)&lt;&gt;"",TRUE)</f>
        <v>1</v>
      </c>
      <c r="H688" s="52" t="str">
        <f t="shared" si="21"/>
        <v>Row 181 - If ‘TEU type’ is ‘TEU’ then ‘TEU Id’ is required</v>
      </c>
      <c r="I688" s="236" t="s">
        <v>1853</v>
      </c>
      <c r="J688" s="52" t="b">
        <f>IF(OR(INDEX(OHZ_HAZ_UNITTYPE,181,1)="TEU",),INDEX(OHZ_HAZ_TEUID,181,1)&lt;&gt;"",TRUE)</f>
        <v>1</v>
      </c>
      <c r="K688" s="52" t="str">
        <f t="shared" si="22"/>
        <v>Row 181 - If ‘TEU type’ is ‘TEU’ then ‘TEU Id’ is required</v>
      </c>
      <c r="L688" s="236" t="s">
        <v>1853</v>
      </c>
    </row>
    <row r="689" spans="7:12">
      <c r="G689" s="250" t="b">
        <f>IF(OR(INDEX(IHZ_HAZ_UNITTYPE,182,1)="TEU",),INDEX(IHZ_HAZ_TEUID,182,1)&lt;&gt;"",TRUE)</f>
        <v>1</v>
      </c>
      <c r="H689" s="52" t="str">
        <f t="shared" si="21"/>
        <v>Row 182 - If ‘TEU type’ is ‘TEU’ then ‘TEU Id’ is required</v>
      </c>
      <c r="I689" s="236" t="s">
        <v>1853</v>
      </c>
      <c r="J689" s="52" t="b">
        <f>IF(OR(INDEX(OHZ_HAZ_UNITTYPE,182,1)="TEU",),INDEX(OHZ_HAZ_TEUID,182,1)&lt;&gt;"",TRUE)</f>
        <v>1</v>
      </c>
      <c r="K689" s="52" t="str">
        <f t="shared" si="22"/>
        <v>Row 182 - If ‘TEU type’ is ‘TEU’ then ‘TEU Id’ is required</v>
      </c>
      <c r="L689" s="236" t="s">
        <v>1853</v>
      </c>
    </row>
    <row r="690" spans="7:12">
      <c r="G690" s="250" t="b">
        <f>IF(OR(INDEX(IHZ_HAZ_UNITTYPE,183,1)="TEU",),INDEX(IHZ_HAZ_TEUID,183,1)&lt;&gt;"",TRUE)</f>
        <v>1</v>
      </c>
      <c r="H690" s="52" t="str">
        <f t="shared" si="21"/>
        <v>Row 183 - If ‘TEU type’ is ‘TEU’ then ‘TEU Id’ is required</v>
      </c>
      <c r="I690" s="236" t="s">
        <v>1853</v>
      </c>
      <c r="J690" s="52" t="b">
        <f>IF(OR(INDEX(OHZ_HAZ_UNITTYPE,183,1)="TEU",),INDEX(OHZ_HAZ_TEUID,183,1)&lt;&gt;"",TRUE)</f>
        <v>1</v>
      </c>
      <c r="K690" s="52" t="str">
        <f t="shared" si="22"/>
        <v>Row 183 - If ‘TEU type’ is ‘TEU’ then ‘TEU Id’ is required</v>
      </c>
      <c r="L690" s="236" t="s">
        <v>1853</v>
      </c>
    </row>
    <row r="691" spans="7:12">
      <c r="G691" s="250" t="b">
        <f>IF(OR(INDEX(IHZ_HAZ_UNITTYPE,184,1)="TEU",),INDEX(IHZ_HAZ_TEUID,184,1)&lt;&gt;"",TRUE)</f>
        <v>1</v>
      </c>
      <c r="H691" s="52" t="str">
        <f t="shared" si="21"/>
        <v>Row 184 - If ‘TEU type’ is ‘TEU’ then ‘TEU Id’ is required</v>
      </c>
      <c r="I691" s="236" t="s">
        <v>1853</v>
      </c>
      <c r="J691" s="52" t="b">
        <f>IF(OR(INDEX(OHZ_HAZ_UNITTYPE,184,1)="TEU",),INDEX(OHZ_HAZ_TEUID,184,1)&lt;&gt;"",TRUE)</f>
        <v>1</v>
      </c>
      <c r="K691" s="52" t="str">
        <f t="shared" si="22"/>
        <v>Row 184 - If ‘TEU type’ is ‘TEU’ then ‘TEU Id’ is required</v>
      </c>
      <c r="L691" s="236" t="s">
        <v>1853</v>
      </c>
    </row>
    <row r="692" spans="7:12">
      <c r="G692" s="250" t="b">
        <f>IF(OR(INDEX(IHZ_HAZ_UNITTYPE,185,1)="TEU",),INDEX(IHZ_HAZ_TEUID,185,1)&lt;&gt;"",TRUE)</f>
        <v>1</v>
      </c>
      <c r="H692" s="52" t="str">
        <f t="shared" si="21"/>
        <v>Row 185 - If ‘TEU type’ is ‘TEU’ then ‘TEU Id’ is required</v>
      </c>
      <c r="I692" s="236" t="s">
        <v>1853</v>
      </c>
      <c r="J692" s="52" t="b">
        <f>IF(OR(INDEX(OHZ_HAZ_UNITTYPE,185,1)="TEU",),INDEX(OHZ_HAZ_TEUID,185,1)&lt;&gt;"",TRUE)</f>
        <v>1</v>
      </c>
      <c r="K692" s="52" t="str">
        <f t="shared" si="22"/>
        <v>Row 185 - If ‘TEU type’ is ‘TEU’ then ‘TEU Id’ is required</v>
      </c>
      <c r="L692" s="236" t="s">
        <v>1853</v>
      </c>
    </row>
    <row r="693" spans="7:12">
      <c r="G693" s="250" t="b">
        <f>IF(OR(INDEX(IHZ_HAZ_UNITTYPE,186,1)="TEU",),INDEX(IHZ_HAZ_TEUID,186,1)&lt;&gt;"",TRUE)</f>
        <v>1</v>
      </c>
      <c r="H693" s="52" t="str">
        <f t="shared" si="21"/>
        <v>Row 186 - If ‘TEU type’ is ‘TEU’ then ‘TEU Id’ is required</v>
      </c>
      <c r="I693" s="236" t="s">
        <v>1853</v>
      </c>
      <c r="J693" s="52" t="b">
        <f>IF(OR(INDEX(OHZ_HAZ_UNITTYPE,186,1)="TEU",),INDEX(OHZ_HAZ_TEUID,186,1)&lt;&gt;"",TRUE)</f>
        <v>1</v>
      </c>
      <c r="K693" s="52" t="str">
        <f t="shared" si="22"/>
        <v>Row 186 - If ‘TEU type’ is ‘TEU’ then ‘TEU Id’ is required</v>
      </c>
      <c r="L693" s="236" t="s">
        <v>1853</v>
      </c>
    </row>
    <row r="694" spans="7:12">
      <c r="G694" s="250" t="b">
        <f>IF(OR(INDEX(IHZ_HAZ_UNITTYPE,187,1)="TEU",),INDEX(IHZ_HAZ_TEUID,187,1)&lt;&gt;"",TRUE)</f>
        <v>1</v>
      </c>
      <c r="H694" s="52" t="str">
        <f t="shared" si="21"/>
        <v>Row 187 - If ‘TEU type’ is ‘TEU’ then ‘TEU Id’ is required</v>
      </c>
      <c r="I694" s="236" t="s">
        <v>1853</v>
      </c>
      <c r="J694" s="52" t="b">
        <f>IF(OR(INDEX(OHZ_HAZ_UNITTYPE,187,1)="TEU",),INDEX(OHZ_HAZ_TEUID,187,1)&lt;&gt;"",TRUE)</f>
        <v>1</v>
      </c>
      <c r="K694" s="52" t="str">
        <f t="shared" si="22"/>
        <v>Row 187 - If ‘TEU type’ is ‘TEU’ then ‘TEU Id’ is required</v>
      </c>
      <c r="L694" s="236" t="s">
        <v>1853</v>
      </c>
    </row>
    <row r="695" spans="7:12">
      <c r="G695" s="250" t="b">
        <f>IF(OR(INDEX(IHZ_HAZ_UNITTYPE,188,1)="TEU",),INDEX(IHZ_HAZ_TEUID,188,1)&lt;&gt;"",TRUE)</f>
        <v>1</v>
      </c>
      <c r="H695" s="52" t="str">
        <f t="shared" si="21"/>
        <v>Row 188 - If ‘TEU type’ is ‘TEU’ then ‘TEU Id’ is required</v>
      </c>
      <c r="I695" s="236" t="s">
        <v>1853</v>
      </c>
      <c r="J695" s="52" t="b">
        <f>IF(OR(INDEX(OHZ_HAZ_UNITTYPE,188,1)="TEU",),INDEX(OHZ_HAZ_TEUID,188,1)&lt;&gt;"",TRUE)</f>
        <v>1</v>
      </c>
      <c r="K695" s="52" t="str">
        <f t="shared" si="22"/>
        <v>Row 188 - If ‘TEU type’ is ‘TEU’ then ‘TEU Id’ is required</v>
      </c>
      <c r="L695" s="236" t="s">
        <v>1853</v>
      </c>
    </row>
    <row r="696" spans="7:12">
      <c r="G696" s="250" t="b">
        <f>IF(OR(INDEX(IHZ_HAZ_UNITTYPE,189,1)="TEU",),INDEX(IHZ_HAZ_TEUID,189,1)&lt;&gt;"",TRUE)</f>
        <v>1</v>
      </c>
      <c r="H696" s="52" t="str">
        <f t="shared" si="21"/>
        <v>Row 189 - If ‘TEU type’ is ‘TEU’ then ‘TEU Id’ is required</v>
      </c>
      <c r="I696" s="236" t="s">
        <v>1853</v>
      </c>
      <c r="J696" s="52" t="b">
        <f>IF(OR(INDEX(OHZ_HAZ_UNITTYPE,189,1)="TEU",),INDEX(OHZ_HAZ_TEUID,189,1)&lt;&gt;"",TRUE)</f>
        <v>1</v>
      </c>
      <c r="K696" s="52" t="str">
        <f t="shared" si="22"/>
        <v>Row 189 - If ‘TEU type’ is ‘TEU’ then ‘TEU Id’ is required</v>
      </c>
      <c r="L696" s="236" t="s">
        <v>1853</v>
      </c>
    </row>
    <row r="697" spans="7:12">
      <c r="G697" s="250" t="b">
        <f>IF(OR(INDEX(IHZ_HAZ_UNITTYPE,190,1)="TEU",),INDEX(IHZ_HAZ_TEUID,190,1)&lt;&gt;"",TRUE)</f>
        <v>1</v>
      </c>
      <c r="H697" s="52" t="str">
        <f t="shared" si="21"/>
        <v>Row 190 - If ‘TEU type’ is ‘TEU’ then ‘TEU Id’ is required</v>
      </c>
      <c r="I697" s="236" t="s">
        <v>1853</v>
      </c>
      <c r="J697" s="52" t="b">
        <f>IF(OR(INDEX(OHZ_HAZ_UNITTYPE,190,1)="TEU",),INDEX(OHZ_HAZ_TEUID,190,1)&lt;&gt;"",TRUE)</f>
        <v>1</v>
      </c>
      <c r="K697" s="52" t="str">
        <f t="shared" si="22"/>
        <v>Row 190 - If ‘TEU type’ is ‘TEU’ then ‘TEU Id’ is required</v>
      </c>
      <c r="L697" s="236" t="s">
        <v>1853</v>
      </c>
    </row>
    <row r="698" spans="7:12">
      <c r="G698" s="250" t="b">
        <f>IF(OR(INDEX(IHZ_HAZ_UNITTYPE,191,1)="TEU",),INDEX(IHZ_HAZ_TEUID,191,1)&lt;&gt;"",TRUE)</f>
        <v>1</v>
      </c>
      <c r="H698" s="52" t="str">
        <f t="shared" si="21"/>
        <v>Row 191 - If ‘TEU type’ is ‘TEU’ then ‘TEU Id’ is required</v>
      </c>
      <c r="I698" s="236" t="s">
        <v>1853</v>
      </c>
      <c r="J698" s="52" t="b">
        <f>IF(OR(INDEX(OHZ_HAZ_UNITTYPE,191,1)="TEU",),INDEX(OHZ_HAZ_TEUID,191,1)&lt;&gt;"",TRUE)</f>
        <v>1</v>
      </c>
      <c r="K698" s="52" t="str">
        <f t="shared" si="22"/>
        <v>Row 191 - If ‘TEU type’ is ‘TEU’ then ‘TEU Id’ is required</v>
      </c>
      <c r="L698" s="236" t="s">
        <v>1853</v>
      </c>
    </row>
    <row r="699" spans="7:12">
      <c r="G699" s="250" t="b">
        <f>IF(OR(INDEX(IHZ_HAZ_UNITTYPE,192,1)="TEU",),INDEX(IHZ_HAZ_TEUID,192,1)&lt;&gt;"",TRUE)</f>
        <v>1</v>
      </c>
      <c r="H699" s="52" t="str">
        <f t="shared" si="21"/>
        <v>Row 192 - If ‘TEU type’ is ‘TEU’ then ‘TEU Id’ is required</v>
      </c>
      <c r="I699" s="236" t="s">
        <v>1853</v>
      </c>
      <c r="J699" s="52" t="b">
        <f>IF(OR(INDEX(OHZ_HAZ_UNITTYPE,192,1)="TEU",),INDEX(OHZ_HAZ_TEUID,192,1)&lt;&gt;"",TRUE)</f>
        <v>1</v>
      </c>
      <c r="K699" s="52" t="str">
        <f t="shared" si="22"/>
        <v>Row 192 - If ‘TEU type’ is ‘TEU’ then ‘TEU Id’ is required</v>
      </c>
      <c r="L699" s="236" t="s">
        <v>1853</v>
      </c>
    </row>
    <row r="700" spans="7:12">
      <c r="G700" s="250" t="b">
        <f>IF(OR(INDEX(IHZ_HAZ_UNITTYPE,193,1)="TEU",),INDEX(IHZ_HAZ_TEUID,193,1)&lt;&gt;"",TRUE)</f>
        <v>1</v>
      </c>
      <c r="H700" s="52" t="str">
        <f t="shared" si="21"/>
        <v>Row 193 - If ‘TEU type’ is ‘TEU’ then ‘TEU Id’ is required</v>
      </c>
      <c r="I700" s="236" t="s">
        <v>1853</v>
      </c>
      <c r="J700" s="52" t="b">
        <f>IF(OR(INDEX(OHZ_HAZ_UNITTYPE,193,1)="TEU",),INDEX(OHZ_HAZ_TEUID,193,1)&lt;&gt;"",TRUE)</f>
        <v>1</v>
      </c>
      <c r="K700" s="52" t="str">
        <f t="shared" si="22"/>
        <v>Row 193 - If ‘TEU type’ is ‘TEU’ then ‘TEU Id’ is required</v>
      </c>
      <c r="L700" s="236" t="s">
        <v>1853</v>
      </c>
    </row>
    <row r="701" spans="7:12">
      <c r="G701" s="250" t="b">
        <f>IF(OR(INDEX(IHZ_HAZ_UNITTYPE,194,1)="TEU",),INDEX(IHZ_HAZ_TEUID,194,1)&lt;&gt;"",TRUE)</f>
        <v>1</v>
      </c>
      <c r="H701" s="52" t="str">
        <f t="shared" ref="H701:H757" si="23">T194&amp;$V$3</f>
        <v>Row 194 - If ‘TEU type’ is ‘TEU’ then ‘TEU Id’ is required</v>
      </c>
      <c r="I701" s="236" t="s">
        <v>1853</v>
      </c>
      <c r="J701" s="52" t="b">
        <f>IF(OR(INDEX(OHZ_HAZ_UNITTYPE,194,1)="TEU",),INDEX(OHZ_HAZ_TEUID,194,1)&lt;&gt;"",TRUE)</f>
        <v>1</v>
      </c>
      <c r="K701" s="52" t="str">
        <f t="shared" ref="K701:K757" si="24">T194&amp;$V$3</f>
        <v>Row 194 - If ‘TEU type’ is ‘TEU’ then ‘TEU Id’ is required</v>
      </c>
      <c r="L701" s="236" t="s">
        <v>1853</v>
      </c>
    </row>
    <row r="702" spans="7:12">
      <c r="G702" s="250" t="b">
        <f>IF(OR(INDEX(IHZ_HAZ_UNITTYPE,195,1)="TEU",),INDEX(IHZ_HAZ_TEUID,195,1)&lt;&gt;"",TRUE)</f>
        <v>1</v>
      </c>
      <c r="H702" s="52" t="str">
        <f t="shared" si="23"/>
        <v>Row 195 - If ‘TEU type’ is ‘TEU’ then ‘TEU Id’ is required</v>
      </c>
      <c r="I702" s="236" t="s">
        <v>1853</v>
      </c>
      <c r="J702" s="52" t="b">
        <f>IF(OR(INDEX(OHZ_HAZ_UNITTYPE,195,1)="TEU",),INDEX(OHZ_HAZ_TEUID,195,1)&lt;&gt;"",TRUE)</f>
        <v>1</v>
      </c>
      <c r="K702" s="52" t="str">
        <f t="shared" si="24"/>
        <v>Row 195 - If ‘TEU type’ is ‘TEU’ then ‘TEU Id’ is required</v>
      </c>
      <c r="L702" s="236" t="s">
        <v>1853</v>
      </c>
    </row>
    <row r="703" spans="7:12">
      <c r="G703" s="250" t="b">
        <f>IF(OR(INDEX(IHZ_HAZ_UNITTYPE,196,1)="TEU",),INDEX(IHZ_HAZ_TEUID,196,1)&lt;&gt;"",TRUE)</f>
        <v>1</v>
      </c>
      <c r="H703" s="52" t="str">
        <f t="shared" si="23"/>
        <v>Row 196 - If ‘TEU type’ is ‘TEU’ then ‘TEU Id’ is required</v>
      </c>
      <c r="I703" s="236" t="s">
        <v>1853</v>
      </c>
      <c r="J703" s="52" t="b">
        <f>IF(OR(INDEX(OHZ_HAZ_UNITTYPE,196,1)="TEU",),INDEX(OHZ_HAZ_TEUID,196,1)&lt;&gt;"",TRUE)</f>
        <v>1</v>
      </c>
      <c r="K703" s="52" t="str">
        <f t="shared" si="24"/>
        <v>Row 196 - If ‘TEU type’ is ‘TEU’ then ‘TEU Id’ is required</v>
      </c>
      <c r="L703" s="236" t="s">
        <v>1853</v>
      </c>
    </row>
    <row r="704" spans="7:12">
      <c r="G704" s="250" t="b">
        <f>IF(OR(INDEX(IHZ_HAZ_UNITTYPE,197,1)="TEU",),INDEX(IHZ_HAZ_TEUID,197,1)&lt;&gt;"",TRUE)</f>
        <v>1</v>
      </c>
      <c r="H704" s="52" t="str">
        <f t="shared" si="23"/>
        <v>Row 197 - If ‘TEU type’ is ‘TEU’ then ‘TEU Id’ is required</v>
      </c>
      <c r="I704" s="236" t="s">
        <v>1853</v>
      </c>
      <c r="J704" s="52" t="b">
        <f>IF(OR(INDEX(OHZ_HAZ_UNITTYPE,197,1)="TEU",),INDEX(OHZ_HAZ_TEUID,197,1)&lt;&gt;"",TRUE)</f>
        <v>1</v>
      </c>
      <c r="K704" s="52" t="str">
        <f t="shared" si="24"/>
        <v>Row 197 - If ‘TEU type’ is ‘TEU’ then ‘TEU Id’ is required</v>
      </c>
      <c r="L704" s="236" t="s">
        <v>1853</v>
      </c>
    </row>
    <row r="705" spans="7:12">
      <c r="G705" s="250" t="b">
        <f>IF(OR(INDEX(IHZ_HAZ_UNITTYPE,198,1)="TEU",),INDEX(IHZ_HAZ_TEUID,198,1)&lt;&gt;"",TRUE)</f>
        <v>1</v>
      </c>
      <c r="H705" s="52" t="str">
        <f t="shared" si="23"/>
        <v>Row 198 - If ‘TEU type’ is ‘TEU’ then ‘TEU Id’ is required</v>
      </c>
      <c r="I705" s="236" t="s">
        <v>1853</v>
      </c>
      <c r="J705" s="52" t="b">
        <f>IF(OR(INDEX(OHZ_HAZ_UNITTYPE,198,1)="TEU",),INDEX(OHZ_HAZ_TEUID,198,1)&lt;&gt;"",TRUE)</f>
        <v>1</v>
      </c>
      <c r="K705" s="52" t="str">
        <f t="shared" si="24"/>
        <v>Row 198 - If ‘TEU type’ is ‘TEU’ then ‘TEU Id’ is required</v>
      </c>
      <c r="L705" s="236" t="s">
        <v>1853</v>
      </c>
    </row>
    <row r="706" spans="7:12">
      <c r="G706" s="250" t="b">
        <f>IF(OR(INDEX(IHZ_HAZ_UNITTYPE,199,1)="TEU",),INDEX(IHZ_HAZ_TEUID,199,1)&lt;&gt;"",TRUE)</f>
        <v>1</v>
      </c>
      <c r="H706" s="52" t="str">
        <f t="shared" si="23"/>
        <v>Row 199 - If ‘TEU type’ is ‘TEU’ then ‘TEU Id’ is required</v>
      </c>
      <c r="I706" s="236" t="s">
        <v>1853</v>
      </c>
      <c r="J706" s="52" t="b">
        <f>IF(OR(INDEX(OHZ_HAZ_UNITTYPE,199,1)="TEU",),INDEX(OHZ_HAZ_TEUID,199,1)&lt;&gt;"",TRUE)</f>
        <v>1</v>
      </c>
      <c r="K706" s="52" t="str">
        <f t="shared" si="24"/>
        <v>Row 199 - If ‘TEU type’ is ‘TEU’ then ‘TEU Id’ is required</v>
      </c>
      <c r="L706" s="236" t="s">
        <v>1853</v>
      </c>
    </row>
    <row r="707" spans="7:12">
      <c r="G707" s="250" t="b">
        <f>IF(OR(INDEX(IHZ_HAZ_UNITTYPE,200,1)="TEU",),INDEX(IHZ_HAZ_TEUID,200,1)&lt;&gt;"",TRUE)</f>
        <v>1</v>
      </c>
      <c r="H707" s="52" t="str">
        <f t="shared" si="23"/>
        <v>Row 200 - If ‘TEU type’ is ‘TEU’ then ‘TEU Id’ is required</v>
      </c>
      <c r="I707" s="236" t="s">
        <v>1853</v>
      </c>
      <c r="J707" s="52" t="b">
        <f>IF(OR(INDEX(OHZ_HAZ_UNITTYPE,200,1)="TEU",),INDEX(OHZ_HAZ_TEUID,200,1)&lt;&gt;"",TRUE)</f>
        <v>1</v>
      </c>
      <c r="K707" s="52" t="str">
        <f t="shared" si="24"/>
        <v>Row 200 - If ‘TEU type’ is ‘TEU’ then ‘TEU Id’ is required</v>
      </c>
      <c r="L707" s="236" t="s">
        <v>1853</v>
      </c>
    </row>
    <row r="708" spans="7:12">
      <c r="G708" s="250" t="b">
        <f>IF(OR(INDEX(IHZ_HAZ_UNITTYPE,201,1)="TEU",),INDEX(IHZ_HAZ_TEUID,201,1)&lt;&gt;"",TRUE)</f>
        <v>1</v>
      </c>
      <c r="H708" s="52" t="str">
        <f t="shared" si="23"/>
        <v>Row 201 - If ‘TEU type’ is ‘TEU’ then ‘TEU Id’ is required</v>
      </c>
      <c r="I708" s="236" t="s">
        <v>1853</v>
      </c>
      <c r="J708" s="52" t="b">
        <f>IF(OR(INDEX(OHZ_HAZ_UNITTYPE,201,1)="TEU",),INDEX(OHZ_HAZ_TEUID,201,1)&lt;&gt;"",TRUE)</f>
        <v>1</v>
      </c>
      <c r="K708" s="52" t="str">
        <f t="shared" si="24"/>
        <v>Row 201 - If ‘TEU type’ is ‘TEU’ then ‘TEU Id’ is required</v>
      </c>
      <c r="L708" s="236" t="s">
        <v>1853</v>
      </c>
    </row>
    <row r="709" spans="7:12">
      <c r="G709" s="250" t="b">
        <f>IF(OR(INDEX(IHZ_HAZ_UNITTYPE,202,1)="TEU",),INDEX(IHZ_HAZ_TEUID,202,1)&lt;&gt;"",TRUE)</f>
        <v>1</v>
      </c>
      <c r="H709" s="52" t="str">
        <f t="shared" si="23"/>
        <v>Row 202 - If ‘TEU type’ is ‘TEU’ then ‘TEU Id’ is required</v>
      </c>
      <c r="I709" s="236" t="s">
        <v>1853</v>
      </c>
      <c r="J709" s="52" t="b">
        <f>IF(OR(INDEX(OHZ_HAZ_UNITTYPE,202,1)="TEU",),INDEX(OHZ_HAZ_TEUID,202,1)&lt;&gt;"",TRUE)</f>
        <v>1</v>
      </c>
      <c r="K709" s="52" t="str">
        <f t="shared" si="24"/>
        <v>Row 202 - If ‘TEU type’ is ‘TEU’ then ‘TEU Id’ is required</v>
      </c>
      <c r="L709" s="236" t="s">
        <v>1853</v>
      </c>
    </row>
    <row r="710" spans="7:12">
      <c r="G710" s="250" t="b">
        <f>IF(OR(INDEX(IHZ_HAZ_UNITTYPE,203,1)="TEU",),INDEX(IHZ_HAZ_TEUID,203,1)&lt;&gt;"",TRUE)</f>
        <v>1</v>
      </c>
      <c r="H710" s="52" t="str">
        <f t="shared" si="23"/>
        <v>Row 203 - If ‘TEU type’ is ‘TEU’ then ‘TEU Id’ is required</v>
      </c>
      <c r="I710" s="236" t="s">
        <v>1853</v>
      </c>
      <c r="J710" s="52" t="b">
        <f>IF(OR(INDEX(OHZ_HAZ_UNITTYPE,203,1)="TEU",),INDEX(OHZ_HAZ_TEUID,203,1)&lt;&gt;"",TRUE)</f>
        <v>1</v>
      </c>
      <c r="K710" s="52" t="str">
        <f t="shared" si="24"/>
        <v>Row 203 - If ‘TEU type’ is ‘TEU’ then ‘TEU Id’ is required</v>
      </c>
      <c r="L710" s="236" t="s">
        <v>1853</v>
      </c>
    </row>
    <row r="711" spans="7:12">
      <c r="G711" s="250" t="b">
        <f>IF(OR(INDEX(IHZ_HAZ_UNITTYPE,204,1)="TEU",),INDEX(IHZ_HAZ_TEUID,204,1)&lt;&gt;"",TRUE)</f>
        <v>1</v>
      </c>
      <c r="H711" s="52" t="str">
        <f t="shared" si="23"/>
        <v>Row 204 - If ‘TEU type’ is ‘TEU’ then ‘TEU Id’ is required</v>
      </c>
      <c r="I711" s="236" t="s">
        <v>1853</v>
      </c>
      <c r="J711" s="52" t="b">
        <f>IF(OR(INDEX(OHZ_HAZ_UNITTYPE,204,1)="TEU",),INDEX(OHZ_HAZ_TEUID,204,1)&lt;&gt;"",TRUE)</f>
        <v>1</v>
      </c>
      <c r="K711" s="52" t="str">
        <f t="shared" si="24"/>
        <v>Row 204 - If ‘TEU type’ is ‘TEU’ then ‘TEU Id’ is required</v>
      </c>
      <c r="L711" s="236" t="s">
        <v>1853</v>
      </c>
    </row>
    <row r="712" spans="7:12">
      <c r="G712" s="250" t="b">
        <f>IF(OR(INDEX(IHZ_HAZ_UNITTYPE,205,1)="TEU",),INDEX(IHZ_HAZ_TEUID,205,1)&lt;&gt;"",TRUE)</f>
        <v>1</v>
      </c>
      <c r="H712" s="52" t="str">
        <f t="shared" si="23"/>
        <v>Row 205 - If ‘TEU type’ is ‘TEU’ then ‘TEU Id’ is required</v>
      </c>
      <c r="I712" s="236" t="s">
        <v>1853</v>
      </c>
      <c r="J712" s="52" t="b">
        <f>IF(OR(INDEX(OHZ_HAZ_UNITTYPE,205,1)="TEU",),INDEX(OHZ_HAZ_TEUID,205,1)&lt;&gt;"",TRUE)</f>
        <v>1</v>
      </c>
      <c r="K712" s="52" t="str">
        <f t="shared" si="24"/>
        <v>Row 205 - If ‘TEU type’ is ‘TEU’ then ‘TEU Id’ is required</v>
      </c>
      <c r="L712" s="236" t="s">
        <v>1853</v>
      </c>
    </row>
    <row r="713" spans="7:12">
      <c r="G713" s="250" t="b">
        <f>IF(OR(INDEX(IHZ_HAZ_UNITTYPE,206,1)="TEU",),INDEX(IHZ_HAZ_TEUID,206,1)&lt;&gt;"",TRUE)</f>
        <v>1</v>
      </c>
      <c r="H713" s="52" t="str">
        <f t="shared" si="23"/>
        <v>Row 206 - If ‘TEU type’ is ‘TEU’ then ‘TEU Id’ is required</v>
      </c>
      <c r="I713" s="236" t="s">
        <v>1853</v>
      </c>
      <c r="J713" s="52" t="b">
        <f>IF(OR(INDEX(OHZ_HAZ_UNITTYPE,206,1)="TEU",),INDEX(OHZ_HAZ_TEUID,206,1)&lt;&gt;"",TRUE)</f>
        <v>1</v>
      </c>
      <c r="K713" s="52" t="str">
        <f t="shared" si="24"/>
        <v>Row 206 - If ‘TEU type’ is ‘TEU’ then ‘TEU Id’ is required</v>
      </c>
      <c r="L713" s="236" t="s">
        <v>1853</v>
      </c>
    </row>
    <row r="714" spans="7:12">
      <c r="G714" s="250" t="b">
        <f>IF(OR(INDEX(IHZ_HAZ_UNITTYPE,207,1)="TEU",),INDEX(IHZ_HAZ_TEUID,207,1)&lt;&gt;"",TRUE)</f>
        <v>1</v>
      </c>
      <c r="H714" s="52" t="str">
        <f t="shared" si="23"/>
        <v>Row 207 - If ‘TEU type’ is ‘TEU’ then ‘TEU Id’ is required</v>
      </c>
      <c r="I714" s="236" t="s">
        <v>1853</v>
      </c>
      <c r="J714" s="52" t="b">
        <f>IF(OR(INDEX(OHZ_HAZ_UNITTYPE,207,1)="TEU",),INDEX(OHZ_HAZ_TEUID,207,1)&lt;&gt;"",TRUE)</f>
        <v>1</v>
      </c>
      <c r="K714" s="52" t="str">
        <f t="shared" si="24"/>
        <v>Row 207 - If ‘TEU type’ is ‘TEU’ then ‘TEU Id’ is required</v>
      </c>
      <c r="L714" s="236" t="s">
        <v>1853</v>
      </c>
    </row>
    <row r="715" spans="7:12">
      <c r="G715" s="250" t="b">
        <f>IF(OR(INDEX(IHZ_HAZ_UNITTYPE,208,1)="TEU",),INDEX(IHZ_HAZ_TEUID,208,1)&lt;&gt;"",TRUE)</f>
        <v>1</v>
      </c>
      <c r="H715" s="52" t="str">
        <f t="shared" si="23"/>
        <v>Row 208 - If ‘TEU type’ is ‘TEU’ then ‘TEU Id’ is required</v>
      </c>
      <c r="I715" s="236" t="s">
        <v>1853</v>
      </c>
      <c r="J715" s="52" t="b">
        <f>IF(OR(INDEX(OHZ_HAZ_UNITTYPE,208,1)="TEU",),INDEX(OHZ_HAZ_TEUID,208,1)&lt;&gt;"",TRUE)</f>
        <v>1</v>
      </c>
      <c r="K715" s="52" t="str">
        <f t="shared" si="24"/>
        <v>Row 208 - If ‘TEU type’ is ‘TEU’ then ‘TEU Id’ is required</v>
      </c>
      <c r="L715" s="236" t="s">
        <v>1853</v>
      </c>
    </row>
    <row r="716" spans="7:12">
      <c r="G716" s="250" t="b">
        <f>IF(OR(INDEX(IHZ_HAZ_UNITTYPE,209,1)="TEU",),INDEX(IHZ_HAZ_TEUID,209,1)&lt;&gt;"",TRUE)</f>
        <v>1</v>
      </c>
      <c r="H716" s="52" t="str">
        <f t="shared" si="23"/>
        <v>Row 209 - If ‘TEU type’ is ‘TEU’ then ‘TEU Id’ is required</v>
      </c>
      <c r="I716" s="236" t="s">
        <v>1853</v>
      </c>
      <c r="J716" s="52" t="b">
        <f>IF(OR(INDEX(OHZ_HAZ_UNITTYPE,209,1)="TEU",),INDEX(OHZ_HAZ_TEUID,209,1)&lt;&gt;"",TRUE)</f>
        <v>1</v>
      </c>
      <c r="K716" s="52" t="str">
        <f t="shared" si="24"/>
        <v>Row 209 - If ‘TEU type’ is ‘TEU’ then ‘TEU Id’ is required</v>
      </c>
      <c r="L716" s="236" t="s">
        <v>1853</v>
      </c>
    </row>
    <row r="717" spans="7:12">
      <c r="G717" s="250" t="b">
        <f>IF(OR(INDEX(IHZ_HAZ_UNITTYPE,210,1)="TEU",),INDEX(IHZ_HAZ_TEUID,210,1)&lt;&gt;"",TRUE)</f>
        <v>1</v>
      </c>
      <c r="H717" s="52" t="str">
        <f t="shared" si="23"/>
        <v>Row 210 - If ‘TEU type’ is ‘TEU’ then ‘TEU Id’ is required</v>
      </c>
      <c r="I717" s="236" t="s">
        <v>1853</v>
      </c>
      <c r="J717" s="52" t="b">
        <f>IF(OR(INDEX(OHZ_HAZ_UNITTYPE,210,1)="TEU",),INDEX(OHZ_HAZ_TEUID,210,1)&lt;&gt;"",TRUE)</f>
        <v>1</v>
      </c>
      <c r="K717" s="52" t="str">
        <f t="shared" si="24"/>
        <v>Row 210 - If ‘TEU type’ is ‘TEU’ then ‘TEU Id’ is required</v>
      </c>
      <c r="L717" s="236" t="s">
        <v>1853</v>
      </c>
    </row>
    <row r="718" spans="7:12">
      <c r="G718" s="250" t="b">
        <f>IF(OR(INDEX(IHZ_HAZ_UNITTYPE,211,1)="TEU",),INDEX(IHZ_HAZ_TEUID,211,1)&lt;&gt;"",TRUE)</f>
        <v>1</v>
      </c>
      <c r="H718" s="52" t="str">
        <f t="shared" si="23"/>
        <v>Row 211 - If ‘TEU type’ is ‘TEU’ then ‘TEU Id’ is required</v>
      </c>
      <c r="I718" s="236" t="s">
        <v>1853</v>
      </c>
      <c r="J718" s="52" t="b">
        <f>IF(OR(INDEX(OHZ_HAZ_UNITTYPE,211,1)="TEU",),INDEX(OHZ_HAZ_TEUID,211,1)&lt;&gt;"",TRUE)</f>
        <v>1</v>
      </c>
      <c r="K718" s="52" t="str">
        <f t="shared" si="24"/>
        <v>Row 211 - If ‘TEU type’ is ‘TEU’ then ‘TEU Id’ is required</v>
      </c>
      <c r="L718" s="236" t="s">
        <v>1853</v>
      </c>
    </row>
    <row r="719" spans="7:12">
      <c r="G719" s="250" t="b">
        <f>IF(OR(INDEX(IHZ_HAZ_UNITTYPE,212,1)="TEU",),INDEX(IHZ_HAZ_TEUID,212,1)&lt;&gt;"",TRUE)</f>
        <v>1</v>
      </c>
      <c r="H719" s="52" t="str">
        <f t="shared" si="23"/>
        <v>Row 212 - If ‘TEU type’ is ‘TEU’ then ‘TEU Id’ is required</v>
      </c>
      <c r="I719" s="236" t="s">
        <v>1853</v>
      </c>
      <c r="J719" s="52" t="b">
        <f>IF(OR(INDEX(OHZ_HAZ_UNITTYPE,212,1)="TEU",),INDEX(OHZ_HAZ_TEUID,212,1)&lt;&gt;"",TRUE)</f>
        <v>1</v>
      </c>
      <c r="K719" s="52" t="str">
        <f t="shared" si="24"/>
        <v>Row 212 - If ‘TEU type’ is ‘TEU’ then ‘TEU Id’ is required</v>
      </c>
      <c r="L719" s="236" t="s">
        <v>1853</v>
      </c>
    </row>
    <row r="720" spans="7:12">
      <c r="G720" s="250" t="b">
        <f>IF(OR(INDEX(IHZ_HAZ_UNITTYPE,213,1)="TEU",),INDEX(IHZ_HAZ_TEUID,213,1)&lt;&gt;"",TRUE)</f>
        <v>1</v>
      </c>
      <c r="H720" s="52" t="str">
        <f t="shared" si="23"/>
        <v>Row 213 - If ‘TEU type’ is ‘TEU’ then ‘TEU Id’ is required</v>
      </c>
      <c r="I720" s="236" t="s">
        <v>1853</v>
      </c>
      <c r="J720" s="52" t="b">
        <f>IF(OR(INDEX(OHZ_HAZ_UNITTYPE,213,1)="TEU",),INDEX(OHZ_HAZ_TEUID,213,1)&lt;&gt;"",TRUE)</f>
        <v>1</v>
      </c>
      <c r="K720" s="52" t="str">
        <f t="shared" si="24"/>
        <v>Row 213 - If ‘TEU type’ is ‘TEU’ then ‘TEU Id’ is required</v>
      </c>
      <c r="L720" s="236" t="s">
        <v>1853</v>
      </c>
    </row>
    <row r="721" spans="7:12">
      <c r="G721" s="250" t="b">
        <f>IF(OR(INDEX(IHZ_HAZ_UNITTYPE,214,1)="TEU",),INDEX(IHZ_HAZ_TEUID,214,1)&lt;&gt;"",TRUE)</f>
        <v>1</v>
      </c>
      <c r="H721" s="52" t="str">
        <f t="shared" si="23"/>
        <v>Row 214 - If ‘TEU type’ is ‘TEU’ then ‘TEU Id’ is required</v>
      </c>
      <c r="I721" s="236" t="s">
        <v>1853</v>
      </c>
      <c r="J721" s="52" t="b">
        <f>IF(OR(INDEX(OHZ_HAZ_UNITTYPE,214,1)="TEU",),INDEX(OHZ_HAZ_TEUID,214,1)&lt;&gt;"",TRUE)</f>
        <v>1</v>
      </c>
      <c r="K721" s="52" t="str">
        <f t="shared" si="24"/>
        <v>Row 214 - If ‘TEU type’ is ‘TEU’ then ‘TEU Id’ is required</v>
      </c>
      <c r="L721" s="236" t="s">
        <v>1853</v>
      </c>
    </row>
    <row r="722" spans="7:12">
      <c r="G722" s="250" t="b">
        <f>IF(OR(INDEX(IHZ_HAZ_UNITTYPE,215,1)="TEU",),INDEX(IHZ_HAZ_TEUID,215,1)&lt;&gt;"",TRUE)</f>
        <v>1</v>
      </c>
      <c r="H722" s="52" t="str">
        <f t="shared" si="23"/>
        <v>Row 215 - If ‘TEU type’ is ‘TEU’ then ‘TEU Id’ is required</v>
      </c>
      <c r="I722" s="236" t="s">
        <v>1853</v>
      </c>
      <c r="J722" s="52" t="b">
        <f>IF(OR(INDEX(OHZ_HAZ_UNITTYPE,215,1)="TEU",),INDEX(OHZ_HAZ_TEUID,215,1)&lt;&gt;"",TRUE)</f>
        <v>1</v>
      </c>
      <c r="K722" s="52" t="str">
        <f t="shared" si="24"/>
        <v>Row 215 - If ‘TEU type’ is ‘TEU’ then ‘TEU Id’ is required</v>
      </c>
      <c r="L722" s="236" t="s">
        <v>1853</v>
      </c>
    </row>
    <row r="723" spans="7:12">
      <c r="G723" s="250" t="b">
        <f>IF(OR(INDEX(IHZ_HAZ_UNITTYPE,216,1)="TEU",),INDEX(IHZ_HAZ_TEUID,216,1)&lt;&gt;"",TRUE)</f>
        <v>1</v>
      </c>
      <c r="H723" s="52" t="str">
        <f t="shared" si="23"/>
        <v>Row 216 - If ‘TEU type’ is ‘TEU’ then ‘TEU Id’ is required</v>
      </c>
      <c r="I723" s="236" t="s">
        <v>1853</v>
      </c>
      <c r="J723" s="52" t="b">
        <f>IF(OR(INDEX(OHZ_HAZ_UNITTYPE,216,1)="TEU",),INDEX(OHZ_HAZ_TEUID,216,1)&lt;&gt;"",TRUE)</f>
        <v>1</v>
      </c>
      <c r="K723" s="52" t="str">
        <f t="shared" si="24"/>
        <v>Row 216 - If ‘TEU type’ is ‘TEU’ then ‘TEU Id’ is required</v>
      </c>
      <c r="L723" s="236" t="s">
        <v>1853</v>
      </c>
    </row>
    <row r="724" spans="7:12">
      <c r="G724" s="250" t="b">
        <f>IF(OR(INDEX(IHZ_HAZ_UNITTYPE,217,1)="TEU",),INDEX(IHZ_HAZ_TEUID,217,1)&lt;&gt;"",TRUE)</f>
        <v>1</v>
      </c>
      <c r="H724" s="52" t="str">
        <f t="shared" si="23"/>
        <v>Row 217 - If ‘TEU type’ is ‘TEU’ then ‘TEU Id’ is required</v>
      </c>
      <c r="I724" s="236" t="s">
        <v>1853</v>
      </c>
      <c r="J724" s="52" t="b">
        <f>IF(OR(INDEX(OHZ_HAZ_UNITTYPE,217,1)="TEU",),INDEX(OHZ_HAZ_TEUID,217,1)&lt;&gt;"",TRUE)</f>
        <v>1</v>
      </c>
      <c r="K724" s="52" t="str">
        <f t="shared" si="24"/>
        <v>Row 217 - If ‘TEU type’ is ‘TEU’ then ‘TEU Id’ is required</v>
      </c>
      <c r="L724" s="236" t="s">
        <v>1853</v>
      </c>
    </row>
    <row r="725" spans="7:12">
      <c r="G725" s="250" t="b">
        <f>IF(OR(INDEX(IHZ_HAZ_UNITTYPE,218,1)="TEU",),INDEX(IHZ_HAZ_TEUID,218,1)&lt;&gt;"",TRUE)</f>
        <v>1</v>
      </c>
      <c r="H725" s="52" t="str">
        <f t="shared" si="23"/>
        <v>Row 218 - If ‘TEU type’ is ‘TEU’ then ‘TEU Id’ is required</v>
      </c>
      <c r="I725" s="236" t="s">
        <v>1853</v>
      </c>
      <c r="J725" s="52" t="b">
        <f>IF(OR(INDEX(OHZ_HAZ_UNITTYPE,218,1)="TEU",),INDEX(OHZ_HAZ_TEUID,218,1)&lt;&gt;"",TRUE)</f>
        <v>1</v>
      </c>
      <c r="K725" s="52" t="str">
        <f t="shared" si="24"/>
        <v>Row 218 - If ‘TEU type’ is ‘TEU’ then ‘TEU Id’ is required</v>
      </c>
      <c r="L725" s="236" t="s">
        <v>1853</v>
      </c>
    </row>
    <row r="726" spans="7:12">
      <c r="G726" s="250" t="b">
        <f>IF(OR(INDEX(IHZ_HAZ_UNITTYPE,219,1)="TEU",),INDEX(IHZ_HAZ_TEUID,219,1)&lt;&gt;"",TRUE)</f>
        <v>1</v>
      </c>
      <c r="H726" s="52" t="str">
        <f t="shared" si="23"/>
        <v>Row 219 - If ‘TEU type’ is ‘TEU’ then ‘TEU Id’ is required</v>
      </c>
      <c r="I726" s="236" t="s">
        <v>1853</v>
      </c>
      <c r="J726" s="52" t="b">
        <f>IF(OR(INDEX(OHZ_HAZ_UNITTYPE,219,1)="TEU",),INDEX(OHZ_HAZ_TEUID,219,1)&lt;&gt;"",TRUE)</f>
        <v>1</v>
      </c>
      <c r="K726" s="52" t="str">
        <f t="shared" si="24"/>
        <v>Row 219 - If ‘TEU type’ is ‘TEU’ then ‘TEU Id’ is required</v>
      </c>
      <c r="L726" s="236" t="s">
        <v>1853</v>
      </c>
    </row>
    <row r="727" spans="7:12">
      <c r="G727" s="250" t="b">
        <f>IF(OR(INDEX(IHZ_HAZ_UNITTYPE,220,1)="TEU",),INDEX(IHZ_HAZ_TEUID,220,1)&lt;&gt;"",TRUE)</f>
        <v>1</v>
      </c>
      <c r="H727" s="52" t="str">
        <f t="shared" si="23"/>
        <v>Row 220 - If ‘TEU type’ is ‘TEU’ then ‘TEU Id’ is required</v>
      </c>
      <c r="I727" s="236" t="s">
        <v>1853</v>
      </c>
      <c r="J727" s="52" t="b">
        <f>IF(OR(INDEX(OHZ_HAZ_UNITTYPE,220,1)="TEU",),INDEX(OHZ_HAZ_TEUID,220,1)&lt;&gt;"",TRUE)</f>
        <v>1</v>
      </c>
      <c r="K727" s="52" t="str">
        <f t="shared" si="24"/>
        <v>Row 220 - If ‘TEU type’ is ‘TEU’ then ‘TEU Id’ is required</v>
      </c>
      <c r="L727" s="236" t="s">
        <v>1853</v>
      </c>
    </row>
    <row r="728" spans="7:12">
      <c r="G728" s="250" t="b">
        <f>IF(OR(INDEX(IHZ_HAZ_UNITTYPE,221,1)="TEU",),INDEX(IHZ_HAZ_TEUID,221,1)&lt;&gt;"",TRUE)</f>
        <v>1</v>
      </c>
      <c r="H728" s="52" t="str">
        <f t="shared" si="23"/>
        <v>Row 221 - If ‘TEU type’ is ‘TEU’ then ‘TEU Id’ is required</v>
      </c>
      <c r="I728" s="236" t="s">
        <v>1853</v>
      </c>
      <c r="J728" s="52" t="b">
        <f>IF(OR(INDEX(OHZ_HAZ_UNITTYPE,221,1)="TEU",),INDEX(OHZ_HAZ_TEUID,221,1)&lt;&gt;"",TRUE)</f>
        <v>1</v>
      </c>
      <c r="K728" s="52" t="str">
        <f t="shared" si="24"/>
        <v>Row 221 - If ‘TEU type’ is ‘TEU’ then ‘TEU Id’ is required</v>
      </c>
      <c r="L728" s="236" t="s">
        <v>1853</v>
      </c>
    </row>
    <row r="729" spans="7:12">
      <c r="G729" s="250" t="b">
        <f>IF(OR(INDEX(IHZ_HAZ_UNITTYPE,222,1)="TEU",),INDEX(IHZ_HAZ_TEUID,222,1)&lt;&gt;"",TRUE)</f>
        <v>1</v>
      </c>
      <c r="H729" s="52" t="str">
        <f t="shared" si="23"/>
        <v>Row 222 - If ‘TEU type’ is ‘TEU’ then ‘TEU Id’ is required</v>
      </c>
      <c r="I729" s="236" t="s">
        <v>1853</v>
      </c>
      <c r="J729" s="52" t="b">
        <f>IF(OR(INDEX(OHZ_HAZ_UNITTYPE,222,1)="TEU",),INDEX(OHZ_HAZ_TEUID,222,1)&lt;&gt;"",TRUE)</f>
        <v>1</v>
      </c>
      <c r="K729" s="52" t="str">
        <f t="shared" si="24"/>
        <v>Row 222 - If ‘TEU type’ is ‘TEU’ then ‘TEU Id’ is required</v>
      </c>
      <c r="L729" s="236" t="s">
        <v>1853</v>
      </c>
    </row>
    <row r="730" spans="7:12">
      <c r="G730" s="250" t="b">
        <f>IF(OR(INDEX(IHZ_HAZ_UNITTYPE,223,1)="TEU",),INDEX(IHZ_HAZ_TEUID,223,1)&lt;&gt;"",TRUE)</f>
        <v>1</v>
      </c>
      <c r="H730" s="52" t="str">
        <f t="shared" si="23"/>
        <v>Row 223 - If ‘TEU type’ is ‘TEU’ then ‘TEU Id’ is required</v>
      </c>
      <c r="I730" s="236" t="s">
        <v>1853</v>
      </c>
      <c r="J730" s="52" t="b">
        <f>IF(OR(INDEX(OHZ_HAZ_UNITTYPE,223,1)="TEU",),INDEX(OHZ_HAZ_TEUID,223,1)&lt;&gt;"",TRUE)</f>
        <v>1</v>
      </c>
      <c r="K730" s="52" t="str">
        <f t="shared" si="24"/>
        <v>Row 223 - If ‘TEU type’ is ‘TEU’ then ‘TEU Id’ is required</v>
      </c>
      <c r="L730" s="236" t="s">
        <v>1853</v>
      </c>
    </row>
    <row r="731" spans="7:12">
      <c r="G731" s="250" t="b">
        <f>IF(OR(INDEX(IHZ_HAZ_UNITTYPE,224,1)="TEU",),INDEX(IHZ_HAZ_TEUID,224,1)&lt;&gt;"",TRUE)</f>
        <v>1</v>
      </c>
      <c r="H731" s="52" t="str">
        <f t="shared" si="23"/>
        <v>Row 224 - If ‘TEU type’ is ‘TEU’ then ‘TEU Id’ is required</v>
      </c>
      <c r="I731" s="236" t="s">
        <v>1853</v>
      </c>
      <c r="J731" s="52" t="b">
        <f>IF(OR(INDEX(OHZ_HAZ_UNITTYPE,224,1)="TEU",),INDEX(OHZ_HAZ_TEUID,224,1)&lt;&gt;"",TRUE)</f>
        <v>1</v>
      </c>
      <c r="K731" s="52" t="str">
        <f t="shared" si="24"/>
        <v>Row 224 - If ‘TEU type’ is ‘TEU’ then ‘TEU Id’ is required</v>
      </c>
      <c r="L731" s="236" t="s">
        <v>1853</v>
      </c>
    </row>
    <row r="732" spans="7:12">
      <c r="G732" s="250" t="b">
        <f>IF(OR(INDEX(IHZ_HAZ_UNITTYPE,225,1)="TEU",),INDEX(IHZ_HAZ_TEUID,225,1)&lt;&gt;"",TRUE)</f>
        <v>1</v>
      </c>
      <c r="H732" s="52" t="str">
        <f t="shared" si="23"/>
        <v>Row 225 - If ‘TEU type’ is ‘TEU’ then ‘TEU Id’ is required</v>
      </c>
      <c r="I732" s="236" t="s">
        <v>1853</v>
      </c>
      <c r="J732" s="52" t="b">
        <f>IF(OR(INDEX(OHZ_HAZ_UNITTYPE,225,1)="TEU",),INDEX(OHZ_HAZ_TEUID,225,1)&lt;&gt;"",TRUE)</f>
        <v>1</v>
      </c>
      <c r="K732" s="52" t="str">
        <f t="shared" si="24"/>
        <v>Row 225 - If ‘TEU type’ is ‘TEU’ then ‘TEU Id’ is required</v>
      </c>
      <c r="L732" s="236" t="s">
        <v>1853</v>
      </c>
    </row>
    <row r="733" spans="7:12">
      <c r="G733" s="250" t="b">
        <f>IF(OR(INDEX(IHZ_HAZ_UNITTYPE,226,1)="TEU",),INDEX(IHZ_HAZ_TEUID,226,1)&lt;&gt;"",TRUE)</f>
        <v>1</v>
      </c>
      <c r="H733" s="52" t="str">
        <f t="shared" si="23"/>
        <v>Row 226 - If ‘TEU type’ is ‘TEU’ then ‘TEU Id’ is required</v>
      </c>
      <c r="I733" s="236" t="s">
        <v>1853</v>
      </c>
      <c r="J733" s="52" t="b">
        <f>IF(OR(INDEX(OHZ_HAZ_UNITTYPE,226,1)="TEU",),INDEX(OHZ_HAZ_TEUID,226,1)&lt;&gt;"",TRUE)</f>
        <v>1</v>
      </c>
      <c r="K733" s="52" t="str">
        <f t="shared" si="24"/>
        <v>Row 226 - If ‘TEU type’ is ‘TEU’ then ‘TEU Id’ is required</v>
      </c>
      <c r="L733" s="236" t="s">
        <v>1853</v>
      </c>
    </row>
    <row r="734" spans="7:12">
      <c r="G734" s="250" t="b">
        <f>IF(OR(INDEX(IHZ_HAZ_UNITTYPE,227,1)="TEU",),INDEX(IHZ_HAZ_TEUID,227,1)&lt;&gt;"",TRUE)</f>
        <v>1</v>
      </c>
      <c r="H734" s="52" t="str">
        <f t="shared" si="23"/>
        <v>Row 227 - If ‘TEU type’ is ‘TEU’ then ‘TEU Id’ is required</v>
      </c>
      <c r="I734" s="236" t="s">
        <v>1853</v>
      </c>
      <c r="J734" s="52" t="b">
        <f>IF(OR(INDEX(OHZ_HAZ_UNITTYPE,227,1)="TEU",),INDEX(OHZ_HAZ_TEUID,227,1)&lt;&gt;"",TRUE)</f>
        <v>1</v>
      </c>
      <c r="K734" s="52" t="str">
        <f t="shared" si="24"/>
        <v>Row 227 - If ‘TEU type’ is ‘TEU’ then ‘TEU Id’ is required</v>
      </c>
      <c r="L734" s="236" t="s">
        <v>1853</v>
      </c>
    </row>
    <row r="735" spans="7:12">
      <c r="G735" s="250" t="b">
        <f>IF(OR(INDEX(IHZ_HAZ_UNITTYPE,228,1)="TEU",),INDEX(IHZ_HAZ_TEUID,228,1)&lt;&gt;"",TRUE)</f>
        <v>1</v>
      </c>
      <c r="H735" s="52" t="str">
        <f t="shared" si="23"/>
        <v>Row 228 - If ‘TEU type’ is ‘TEU’ then ‘TEU Id’ is required</v>
      </c>
      <c r="I735" s="236" t="s">
        <v>1853</v>
      </c>
      <c r="J735" s="52" t="b">
        <f>IF(OR(INDEX(OHZ_HAZ_UNITTYPE,228,1)="TEU",),INDEX(OHZ_HAZ_TEUID,228,1)&lt;&gt;"",TRUE)</f>
        <v>1</v>
      </c>
      <c r="K735" s="52" t="str">
        <f t="shared" si="24"/>
        <v>Row 228 - If ‘TEU type’ is ‘TEU’ then ‘TEU Id’ is required</v>
      </c>
      <c r="L735" s="236" t="s">
        <v>1853</v>
      </c>
    </row>
    <row r="736" spans="7:12">
      <c r="G736" s="250" t="b">
        <f>IF(OR(INDEX(IHZ_HAZ_UNITTYPE,229,1)="TEU",),INDEX(IHZ_HAZ_TEUID,229,1)&lt;&gt;"",TRUE)</f>
        <v>1</v>
      </c>
      <c r="H736" s="52" t="str">
        <f t="shared" si="23"/>
        <v>Row 229 - If ‘TEU type’ is ‘TEU’ then ‘TEU Id’ is required</v>
      </c>
      <c r="I736" s="236" t="s">
        <v>1853</v>
      </c>
      <c r="J736" s="52" t="b">
        <f>IF(OR(INDEX(OHZ_HAZ_UNITTYPE,229,1)="TEU",),INDEX(OHZ_HAZ_TEUID,229,1)&lt;&gt;"",TRUE)</f>
        <v>1</v>
      </c>
      <c r="K736" s="52" t="str">
        <f t="shared" si="24"/>
        <v>Row 229 - If ‘TEU type’ is ‘TEU’ then ‘TEU Id’ is required</v>
      </c>
      <c r="L736" s="236" t="s">
        <v>1853</v>
      </c>
    </row>
    <row r="737" spans="7:12">
      <c r="G737" s="250" t="b">
        <f>IF(OR(INDEX(IHZ_HAZ_UNITTYPE,230,1)="TEU",),INDEX(IHZ_HAZ_TEUID,230,1)&lt;&gt;"",TRUE)</f>
        <v>1</v>
      </c>
      <c r="H737" s="52" t="str">
        <f t="shared" si="23"/>
        <v>Row 230 - If ‘TEU type’ is ‘TEU’ then ‘TEU Id’ is required</v>
      </c>
      <c r="I737" s="236" t="s">
        <v>1853</v>
      </c>
      <c r="J737" s="52" t="b">
        <f>IF(OR(INDEX(OHZ_HAZ_UNITTYPE,230,1)="TEU",),INDEX(OHZ_HAZ_TEUID,230,1)&lt;&gt;"",TRUE)</f>
        <v>1</v>
      </c>
      <c r="K737" s="52" t="str">
        <f t="shared" si="24"/>
        <v>Row 230 - If ‘TEU type’ is ‘TEU’ then ‘TEU Id’ is required</v>
      </c>
      <c r="L737" s="236" t="s">
        <v>1853</v>
      </c>
    </row>
    <row r="738" spans="7:12">
      <c r="G738" s="250" t="b">
        <f>IF(OR(INDEX(IHZ_HAZ_UNITTYPE,231,1)="TEU",),INDEX(IHZ_HAZ_TEUID,231,1)&lt;&gt;"",TRUE)</f>
        <v>1</v>
      </c>
      <c r="H738" s="52" t="str">
        <f t="shared" si="23"/>
        <v>Row 231 - If ‘TEU type’ is ‘TEU’ then ‘TEU Id’ is required</v>
      </c>
      <c r="I738" s="236" t="s">
        <v>1853</v>
      </c>
      <c r="J738" s="52" t="b">
        <f>IF(OR(INDEX(OHZ_HAZ_UNITTYPE,231,1)="TEU",),INDEX(OHZ_HAZ_TEUID,231,1)&lt;&gt;"",TRUE)</f>
        <v>1</v>
      </c>
      <c r="K738" s="52" t="str">
        <f t="shared" si="24"/>
        <v>Row 231 - If ‘TEU type’ is ‘TEU’ then ‘TEU Id’ is required</v>
      </c>
      <c r="L738" s="236" t="s">
        <v>1853</v>
      </c>
    </row>
    <row r="739" spans="7:12">
      <c r="G739" s="250" t="b">
        <f>IF(OR(INDEX(IHZ_HAZ_UNITTYPE,232,1)="TEU",),INDEX(IHZ_HAZ_TEUID,232,1)&lt;&gt;"",TRUE)</f>
        <v>1</v>
      </c>
      <c r="H739" s="52" t="str">
        <f t="shared" si="23"/>
        <v>Row 232 - If ‘TEU type’ is ‘TEU’ then ‘TEU Id’ is required</v>
      </c>
      <c r="I739" s="236" t="s">
        <v>1853</v>
      </c>
      <c r="J739" s="52" t="b">
        <f>IF(OR(INDEX(OHZ_HAZ_UNITTYPE,232,1)="TEU",),INDEX(OHZ_HAZ_TEUID,232,1)&lt;&gt;"",TRUE)</f>
        <v>1</v>
      </c>
      <c r="K739" s="52" t="str">
        <f t="shared" si="24"/>
        <v>Row 232 - If ‘TEU type’ is ‘TEU’ then ‘TEU Id’ is required</v>
      </c>
      <c r="L739" s="236" t="s">
        <v>1853</v>
      </c>
    </row>
    <row r="740" spans="7:12">
      <c r="G740" s="250" t="b">
        <f>IF(OR(INDEX(IHZ_HAZ_UNITTYPE,233,1)="TEU",),INDEX(IHZ_HAZ_TEUID,233,1)&lt;&gt;"",TRUE)</f>
        <v>1</v>
      </c>
      <c r="H740" s="52" t="str">
        <f t="shared" si="23"/>
        <v>Row 233 - If ‘TEU type’ is ‘TEU’ then ‘TEU Id’ is required</v>
      </c>
      <c r="I740" s="236" t="s">
        <v>1853</v>
      </c>
      <c r="J740" s="52" t="b">
        <f>IF(OR(INDEX(OHZ_HAZ_UNITTYPE,233,1)="TEU",),INDEX(OHZ_HAZ_TEUID,233,1)&lt;&gt;"",TRUE)</f>
        <v>1</v>
      </c>
      <c r="K740" s="52" t="str">
        <f t="shared" si="24"/>
        <v>Row 233 - If ‘TEU type’ is ‘TEU’ then ‘TEU Id’ is required</v>
      </c>
      <c r="L740" s="236" t="s">
        <v>1853</v>
      </c>
    </row>
    <row r="741" spans="7:12">
      <c r="G741" s="250" t="b">
        <f>IF(OR(INDEX(IHZ_HAZ_UNITTYPE,234,1)="TEU",),INDEX(IHZ_HAZ_TEUID,234,1)&lt;&gt;"",TRUE)</f>
        <v>1</v>
      </c>
      <c r="H741" s="52" t="str">
        <f t="shared" si="23"/>
        <v>Row 234 - If ‘TEU type’ is ‘TEU’ then ‘TEU Id’ is required</v>
      </c>
      <c r="I741" s="236" t="s">
        <v>1853</v>
      </c>
      <c r="J741" s="52" t="b">
        <f>IF(OR(INDEX(OHZ_HAZ_UNITTYPE,234,1)="TEU",),INDEX(OHZ_HAZ_TEUID,234,1)&lt;&gt;"",TRUE)</f>
        <v>1</v>
      </c>
      <c r="K741" s="52" t="str">
        <f t="shared" si="24"/>
        <v>Row 234 - If ‘TEU type’ is ‘TEU’ then ‘TEU Id’ is required</v>
      </c>
      <c r="L741" s="236" t="s">
        <v>1853</v>
      </c>
    </row>
    <row r="742" spans="7:12">
      <c r="G742" s="250" t="b">
        <f>IF(OR(INDEX(IHZ_HAZ_UNITTYPE,235,1)="TEU",),INDEX(IHZ_HAZ_TEUID,235,1)&lt;&gt;"",TRUE)</f>
        <v>1</v>
      </c>
      <c r="H742" s="52" t="str">
        <f t="shared" si="23"/>
        <v>Row 235 - If ‘TEU type’ is ‘TEU’ then ‘TEU Id’ is required</v>
      </c>
      <c r="I742" s="236" t="s">
        <v>1853</v>
      </c>
      <c r="J742" s="52" t="b">
        <f>IF(OR(INDEX(OHZ_HAZ_UNITTYPE,235,1)="TEU",),INDEX(OHZ_HAZ_TEUID,235,1)&lt;&gt;"",TRUE)</f>
        <v>1</v>
      </c>
      <c r="K742" s="52" t="str">
        <f t="shared" si="24"/>
        <v>Row 235 - If ‘TEU type’ is ‘TEU’ then ‘TEU Id’ is required</v>
      </c>
      <c r="L742" s="236" t="s">
        <v>1853</v>
      </c>
    </row>
    <row r="743" spans="7:12">
      <c r="G743" s="250" t="b">
        <f>IF(OR(INDEX(IHZ_HAZ_UNITTYPE,236,1)="TEU",),INDEX(IHZ_HAZ_TEUID,236,1)&lt;&gt;"",TRUE)</f>
        <v>1</v>
      </c>
      <c r="H743" s="52" t="str">
        <f t="shared" si="23"/>
        <v>Row 236 - If ‘TEU type’ is ‘TEU’ then ‘TEU Id’ is required</v>
      </c>
      <c r="I743" s="236" t="s">
        <v>1853</v>
      </c>
      <c r="J743" s="52" t="b">
        <f>IF(OR(INDEX(OHZ_HAZ_UNITTYPE,236,1)="TEU",),INDEX(OHZ_HAZ_TEUID,236,1)&lt;&gt;"",TRUE)</f>
        <v>1</v>
      </c>
      <c r="K743" s="52" t="str">
        <f t="shared" si="24"/>
        <v>Row 236 - If ‘TEU type’ is ‘TEU’ then ‘TEU Id’ is required</v>
      </c>
      <c r="L743" s="236" t="s">
        <v>1853</v>
      </c>
    </row>
    <row r="744" spans="7:12">
      <c r="G744" s="250" t="b">
        <f>IF(OR(INDEX(IHZ_HAZ_UNITTYPE,237,1)="TEU",),INDEX(IHZ_HAZ_TEUID,237,1)&lt;&gt;"",TRUE)</f>
        <v>1</v>
      </c>
      <c r="H744" s="52" t="str">
        <f t="shared" si="23"/>
        <v>Row 237 - If ‘TEU type’ is ‘TEU’ then ‘TEU Id’ is required</v>
      </c>
      <c r="I744" s="236" t="s">
        <v>1853</v>
      </c>
      <c r="J744" s="52" t="b">
        <f>IF(OR(INDEX(OHZ_HAZ_UNITTYPE,237,1)="TEU",),INDEX(OHZ_HAZ_TEUID,237,1)&lt;&gt;"",TRUE)</f>
        <v>1</v>
      </c>
      <c r="K744" s="52" t="str">
        <f t="shared" si="24"/>
        <v>Row 237 - If ‘TEU type’ is ‘TEU’ then ‘TEU Id’ is required</v>
      </c>
      <c r="L744" s="236" t="s">
        <v>1853</v>
      </c>
    </row>
    <row r="745" spans="7:12">
      <c r="G745" s="250" t="b">
        <f>IF(OR(INDEX(IHZ_HAZ_UNITTYPE,238,1)="TEU",),INDEX(IHZ_HAZ_TEUID,238,1)&lt;&gt;"",TRUE)</f>
        <v>1</v>
      </c>
      <c r="H745" s="52" t="str">
        <f t="shared" si="23"/>
        <v>Row 238 - If ‘TEU type’ is ‘TEU’ then ‘TEU Id’ is required</v>
      </c>
      <c r="I745" s="236" t="s">
        <v>1853</v>
      </c>
      <c r="J745" s="52" t="b">
        <f>IF(OR(INDEX(OHZ_HAZ_UNITTYPE,238,1)="TEU",),INDEX(OHZ_HAZ_TEUID,238,1)&lt;&gt;"",TRUE)</f>
        <v>1</v>
      </c>
      <c r="K745" s="52" t="str">
        <f t="shared" si="24"/>
        <v>Row 238 - If ‘TEU type’ is ‘TEU’ then ‘TEU Id’ is required</v>
      </c>
      <c r="L745" s="236" t="s">
        <v>1853</v>
      </c>
    </row>
    <row r="746" spans="7:12">
      <c r="G746" s="250" t="b">
        <f>IF(OR(INDEX(IHZ_HAZ_UNITTYPE,239,1)="TEU",),INDEX(IHZ_HAZ_TEUID,239,1)&lt;&gt;"",TRUE)</f>
        <v>1</v>
      </c>
      <c r="H746" s="52" t="str">
        <f t="shared" si="23"/>
        <v>Row 239 - If ‘TEU type’ is ‘TEU’ then ‘TEU Id’ is required</v>
      </c>
      <c r="I746" s="236" t="s">
        <v>1853</v>
      </c>
      <c r="J746" s="52" t="b">
        <f>IF(OR(INDEX(OHZ_HAZ_UNITTYPE,239,1)="TEU",),INDEX(OHZ_HAZ_TEUID,239,1)&lt;&gt;"",TRUE)</f>
        <v>1</v>
      </c>
      <c r="K746" s="52" t="str">
        <f t="shared" si="24"/>
        <v>Row 239 - If ‘TEU type’ is ‘TEU’ then ‘TEU Id’ is required</v>
      </c>
      <c r="L746" s="236" t="s">
        <v>1853</v>
      </c>
    </row>
    <row r="747" spans="7:12">
      <c r="G747" s="250" t="b">
        <f>IF(OR(INDEX(IHZ_HAZ_UNITTYPE,240,1)="TEU",),INDEX(IHZ_HAZ_TEUID,240,1)&lt;&gt;"",TRUE)</f>
        <v>1</v>
      </c>
      <c r="H747" s="52" t="str">
        <f t="shared" si="23"/>
        <v>Row 240 - If ‘TEU type’ is ‘TEU’ then ‘TEU Id’ is required</v>
      </c>
      <c r="I747" s="236" t="s">
        <v>1853</v>
      </c>
      <c r="J747" s="52" t="b">
        <f>IF(OR(INDEX(OHZ_HAZ_UNITTYPE,240,1)="TEU",),INDEX(OHZ_HAZ_TEUID,240,1)&lt;&gt;"",TRUE)</f>
        <v>1</v>
      </c>
      <c r="K747" s="52" t="str">
        <f t="shared" si="24"/>
        <v>Row 240 - If ‘TEU type’ is ‘TEU’ then ‘TEU Id’ is required</v>
      </c>
      <c r="L747" s="236" t="s">
        <v>1853</v>
      </c>
    </row>
    <row r="748" spans="7:12">
      <c r="G748" s="250" t="b">
        <f>IF(OR(INDEX(IHZ_HAZ_UNITTYPE,241,1)="TEU",),INDEX(IHZ_HAZ_TEUID,241,1)&lt;&gt;"",TRUE)</f>
        <v>1</v>
      </c>
      <c r="H748" s="52" t="str">
        <f t="shared" si="23"/>
        <v>Row 241 - If ‘TEU type’ is ‘TEU’ then ‘TEU Id’ is required</v>
      </c>
      <c r="I748" s="236" t="s">
        <v>1853</v>
      </c>
      <c r="J748" s="52" t="b">
        <f>IF(OR(INDEX(OHZ_HAZ_UNITTYPE,241,1)="TEU",),INDEX(OHZ_HAZ_TEUID,241,1)&lt;&gt;"",TRUE)</f>
        <v>1</v>
      </c>
      <c r="K748" s="52" t="str">
        <f t="shared" si="24"/>
        <v>Row 241 - If ‘TEU type’ is ‘TEU’ then ‘TEU Id’ is required</v>
      </c>
      <c r="L748" s="236" t="s">
        <v>1853</v>
      </c>
    </row>
    <row r="749" spans="7:12">
      <c r="G749" s="250" t="b">
        <f>IF(OR(INDEX(IHZ_HAZ_UNITTYPE,242,1)="TEU",),INDEX(IHZ_HAZ_TEUID,242,1)&lt;&gt;"",TRUE)</f>
        <v>1</v>
      </c>
      <c r="H749" s="52" t="str">
        <f t="shared" si="23"/>
        <v>Row 242 - If ‘TEU type’ is ‘TEU’ then ‘TEU Id’ is required</v>
      </c>
      <c r="I749" s="236" t="s">
        <v>1853</v>
      </c>
      <c r="J749" s="52" t="b">
        <f>IF(OR(INDEX(OHZ_HAZ_UNITTYPE,242,1)="TEU",),INDEX(OHZ_HAZ_TEUID,242,1)&lt;&gt;"",TRUE)</f>
        <v>1</v>
      </c>
      <c r="K749" s="52" t="str">
        <f t="shared" si="24"/>
        <v>Row 242 - If ‘TEU type’ is ‘TEU’ then ‘TEU Id’ is required</v>
      </c>
      <c r="L749" s="236" t="s">
        <v>1853</v>
      </c>
    </row>
    <row r="750" spans="7:12">
      <c r="G750" s="250" t="b">
        <f>IF(OR(INDEX(IHZ_HAZ_UNITTYPE,243,1)="TEU",),INDEX(IHZ_HAZ_TEUID,243,1)&lt;&gt;"",TRUE)</f>
        <v>1</v>
      </c>
      <c r="H750" s="52" t="str">
        <f t="shared" si="23"/>
        <v>Row 243 - If ‘TEU type’ is ‘TEU’ then ‘TEU Id’ is required</v>
      </c>
      <c r="I750" s="236" t="s">
        <v>1853</v>
      </c>
      <c r="J750" s="52" t="b">
        <f>IF(OR(INDEX(OHZ_HAZ_UNITTYPE,243,1)="TEU",),INDEX(OHZ_HAZ_TEUID,243,1)&lt;&gt;"",TRUE)</f>
        <v>1</v>
      </c>
      <c r="K750" s="52" t="str">
        <f t="shared" si="24"/>
        <v>Row 243 - If ‘TEU type’ is ‘TEU’ then ‘TEU Id’ is required</v>
      </c>
      <c r="L750" s="236" t="s">
        <v>1853</v>
      </c>
    </row>
    <row r="751" spans="7:12">
      <c r="G751" s="250" t="b">
        <f>IF(OR(INDEX(IHZ_HAZ_UNITTYPE,244,1)="TEU",),INDEX(IHZ_HAZ_TEUID,244,1)&lt;&gt;"",TRUE)</f>
        <v>1</v>
      </c>
      <c r="H751" s="52" t="str">
        <f t="shared" si="23"/>
        <v>Row 244 - If ‘TEU type’ is ‘TEU’ then ‘TEU Id’ is required</v>
      </c>
      <c r="I751" s="236" t="s">
        <v>1853</v>
      </c>
      <c r="J751" s="52" t="b">
        <f>IF(OR(INDEX(OHZ_HAZ_UNITTYPE,244,1)="TEU",),INDEX(OHZ_HAZ_TEUID,244,1)&lt;&gt;"",TRUE)</f>
        <v>1</v>
      </c>
      <c r="K751" s="52" t="str">
        <f t="shared" si="24"/>
        <v>Row 244 - If ‘TEU type’ is ‘TEU’ then ‘TEU Id’ is required</v>
      </c>
      <c r="L751" s="236" t="s">
        <v>1853</v>
      </c>
    </row>
    <row r="752" spans="7:12">
      <c r="G752" s="250" t="b">
        <f>IF(OR(INDEX(IHZ_HAZ_UNITTYPE,245,1)="TEU",),INDEX(IHZ_HAZ_TEUID,245,1)&lt;&gt;"",TRUE)</f>
        <v>1</v>
      </c>
      <c r="H752" s="52" t="str">
        <f t="shared" si="23"/>
        <v>Row 245 - If ‘TEU type’ is ‘TEU’ then ‘TEU Id’ is required</v>
      </c>
      <c r="I752" s="236" t="s">
        <v>1853</v>
      </c>
      <c r="J752" s="52" t="b">
        <f>IF(OR(INDEX(OHZ_HAZ_UNITTYPE,245,1)="TEU",),INDEX(OHZ_HAZ_TEUID,245,1)&lt;&gt;"",TRUE)</f>
        <v>1</v>
      </c>
      <c r="K752" s="52" t="str">
        <f t="shared" si="24"/>
        <v>Row 245 - If ‘TEU type’ is ‘TEU’ then ‘TEU Id’ is required</v>
      </c>
      <c r="L752" s="236" t="s">
        <v>1853</v>
      </c>
    </row>
    <row r="753" spans="7:12">
      <c r="G753" s="250" t="b">
        <f>IF(OR(INDEX(IHZ_HAZ_UNITTYPE,246,1)="TEU",),INDEX(IHZ_HAZ_TEUID,246,1)&lt;&gt;"",TRUE)</f>
        <v>1</v>
      </c>
      <c r="H753" s="52" t="str">
        <f t="shared" si="23"/>
        <v>Row 246 - If ‘TEU type’ is ‘TEU’ then ‘TEU Id’ is required</v>
      </c>
      <c r="I753" s="236" t="s">
        <v>1853</v>
      </c>
      <c r="J753" s="52" t="b">
        <f>IF(OR(INDEX(OHZ_HAZ_UNITTYPE,246,1)="TEU",),INDEX(OHZ_HAZ_TEUID,246,1)&lt;&gt;"",TRUE)</f>
        <v>1</v>
      </c>
      <c r="K753" s="52" t="str">
        <f t="shared" si="24"/>
        <v>Row 246 - If ‘TEU type’ is ‘TEU’ then ‘TEU Id’ is required</v>
      </c>
      <c r="L753" s="236" t="s">
        <v>1853</v>
      </c>
    </row>
    <row r="754" spans="7:12">
      <c r="G754" s="250" t="b">
        <f>IF(OR(INDEX(IHZ_HAZ_UNITTYPE,247,1)="TEU",),INDEX(IHZ_HAZ_TEUID,247,1)&lt;&gt;"",TRUE)</f>
        <v>1</v>
      </c>
      <c r="H754" s="52" t="str">
        <f t="shared" si="23"/>
        <v>Row 247 - If ‘TEU type’ is ‘TEU’ then ‘TEU Id’ is required</v>
      </c>
      <c r="I754" s="236" t="s">
        <v>1853</v>
      </c>
      <c r="J754" s="52" t="b">
        <f>IF(OR(INDEX(OHZ_HAZ_UNITTYPE,247,1)="TEU",),INDEX(OHZ_HAZ_TEUID,247,1)&lt;&gt;"",TRUE)</f>
        <v>1</v>
      </c>
      <c r="K754" s="52" t="str">
        <f t="shared" si="24"/>
        <v>Row 247 - If ‘TEU type’ is ‘TEU’ then ‘TEU Id’ is required</v>
      </c>
      <c r="L754" s="236" t="s">
        <v>1853</v>
      </c>
    </row>
    <row r="755" spans="7:12">
      <c r="G755" s="250" t="b">
        <f>IF(OR(INDEX(IHZ_HAZ_UNITTYPE,248,1)="TEU",),INDEX(IHZ_HAZ_TEUID,248,1)&lt;&gt;"",TRUE)</f>
        <v>1</v>
      </c>
      <c r="H755" s="52" t="str">
        <f t="shared" si="23"/>
        <v>Row 248 - If ‘TEU type’ is ‘TEU’ then ‘TEU Id’ is required</v>
      </c>
      <c r="I755" s="236" t="s">
        <v>1853</v>
      </c>
      <c r="J755" s="52" t="b">
        <f>IF(OR(INDEX(OHZ_HAZ_UNITTYPE,248,1)="TEU",),INDEX(OHZ_HAZ_TEUID,248,1)&lt;&gt;"",TRUE)</f>
        <v>1</v>
      </c>
      <c r="K755" s="52" t="str">
        <f t="shared" si="24"/>
        <v>Row 248 - If ‘TEU type’ is ‘TEU’ then ‘TEU Id’ is required</v>
      </c>
      <c r="L755" s="236" t="s">
        <v>1853</v>
      </c>
    </row>
    <row r="756" spans="7:12">
      <c r="G756" s="250" t="b">
        <f>IF(OR(INDEX(IHZ_HAZ_UNITTYPE,249,1)="TEU",),INDEX(IHZ_HAZ_TEUID,249,1)&lt;&gt;"",TRUE)</f>
        <v>1</v>
      </c>
      <c r="H756" s="52" t="str">
        <f t="shared" si="23"/>
        <v>Row 249 - If ‘TEU type’ is ‘TEU’ then ‘TEU Id’ is required</v>
      </c>
      <c r="I756" s="236" t="s">
        <v>1853</v>
      </c>
      <c r="J756" s="52" t="b">
        <f>IF(OR(INDEX(OHZ_HAZ_UNITTYPE,249,1)="TEU",),INDEX(OHZ_HAZ_TEUID,249,1)&lt;&gt;"",TRUE)</f>
        <v>1</v>
      </c>
      <c r="K756" s="52" t="str">
        <f t="shared" si="24"/>
        <v>Row 249 - If ‘TEU type’ is ‘TEU’ then ‘TEU Id’ is required</v>
      </c>
      <c r="L756" s="236" t="s">
        <v>1853</v>
      </c>
    </row>
    <row r="757" spans="7:12">
      <c r="G757" s="250" t="b">
        <f>IF(OR(INDEX(IHZ_HAZ_UNITTYPE,250,1)="TEU",),INDEX(IHZ_HAZ_TEUID,250,1)&lt;&gt;"",TRUE)</f>
        <v>1</v>
      </c>
      <c r="H757" s="52" t="str">
        <f t="shared" si="23"/>
        <v>Row 250 - If ‘TEU type’ is ‘TEU’ then ‘TEU Id’ is required</v>
      </c>
      <c r="I757" s="236" t="s">
        <v>1853</v>
      </c>
      <c r="J757" s="52" t="b">
        <f>IF(OR(INDEX(OHZ_HAZ_UNITTYPE,250,1)="TEU",),INDEX(OHZ_HAZ_TEUID,250,1)&lt;&gt;"",TRUE)</f>
        <v>1</v>
      </c>
      <c r="K757" s="52" t="str">
        <f t="shared" si="24"/>
        <v>Row 250 - If ‘TEU type’ is ‘TEU’ then ‘TEU Id’ is required</v>
      </c>
      <c r="L757" s="236" t="s">
        <v>1853</v>
      </c>
    </row>
    <row r="758" spans="7:12">
      <c r="G758" s="250" t="b">
        <f>IF(OR(INDEX(IHZ_HAZ_UNITTYPE,1,1)&lt;&gt;"",),IF(OR(INDEX(IHZ_HAZ_LOCATION,1,1)="",INDEX(IHZ_HAZ_AMOUNT,1,1)="",),FALSE,TRUE),TRUE)</f>
        <v>1</v>
      </c>
      <c r="H758" s="52" t="str">
        <f>T1&amp;$V$4</f>
        <v>Row 1 - For a ‘Transport unit’ both ‘Location on board’ and ‘Amount’ are required</v>
      </c>
      <c r="I758" s="236" t="s">
        <v>1853</v>
      </c>
      <c r="J758" s="52" t="b">
        <f>IF(OR(INDEX(OHZ_HAZ_UNITTYPE,1,1)&lt;&gt;"",),IF(OR(INDEX(OHZ_HAZ_LOCATION,1,1)="",INDEX(OHZ_HAZ_AMOUNT,1,1)="",),FALSE,TRUE),TRUE)</f>
        <v>1</v>
      </c>
      <c r="K758" s="52" t="str">
        <f>T1&amp;$V$4</f>
        <v>Row 1 - For a ‘Transport unit’ both ‘Location on board’ and ‘Amount’ are required</v>
      </c>
      <c r="L758" s="236" t="s">
        <v>1853</v>
      </c>
    </row>
    <row r="759" spans="7:12">
      <c r="G759" s="250" t="b">
        <f>IF(OR(INDEX(IHZ_HAZ_UNITTYPE,2,1)&lt;&gt;"",),IF(OR(INDEX(IHZ_HAZ_LOCATION,2,1)="",INDEX(IHZ_HAZ_AMOUNT,2,1)="",),FALSE,TRUE),TRUE)</f>
        <v>1</v>
      </c>
      <c r="H759" s="52" t="str">
        <f t="shared" ref="H759:H822" si="25">T2&amp;$V$4</f>
        <v>Row 2 - For a ‘Transport unit’ both ‘Location on board’ and ‘Amount’ are required</v>
      </c>
      <c r="I759" s="236" t="s">
        <v>1853</v>
      </c>
      <c r="J759" s="52" t="b">
        <f>IF(OR(INDEX(OHZ_HAZ_UNITTYPE,2,1)&lt;&gt;"",),IF(OR(INDEX(OHZ_HAZ_LOCATION,2,1)="",INDEX(OHZ_HAZ_AMOUNT,2,1)="",),FALSE,TRUE),TRUE)</f>
        <v>1</v>
      </c>
      <c r="K759" s="52" t="str">
        <f t="shared" ref="K759:K822" si="26">T2&amp;$V$4</f>
        <v>Row 2 - For a ‘Transport unit’ both ‘Location on board’ and ‘Amount’ are required</v>
      </c>
      <c r="L759" s="236" t="s">
        <v>1853</v>
      </c>
    </row>
    <row r="760" spans="7:12">
      <c r="G760" s="250" t="b">
        <f>IF(OR(INDEX(IHZ_HAZ_UNITTYPE,3,1)&lt;&gt;"",),IF(OR(INDEX(IHZ_HAZ_LOCATION,3,1)="",INDEX(IHZ_HAZ_AMOUNT,3,1)="",),FALSE,TRUE),TRUE)</f>
        <v>1</v>
      </c>
      <c r="H760" s="52" t="str">
        <f t="shared" si="25"/>
        <v>Row 3 - For a ‘Transport unit’ both ‘Location on board’ and ‘Amount’ are required</v>
      </c>
      <c r="I760" s="236" t="s">
        <v>1853</v>
      </c>
      <c r="J760" s="52" t="b">
        <f>IF(OR(INDEX(OHZ_HAZ_UNITTYPE,3,1)&lt;&gt;"",),IF(OR(INDEX(OHZ_HAZ_LOCATION,3,1)="",INDEX(OHZ_HAZ_AMOUNT,3,1)="",),FALSE,TRUE),TRUE)</f>
        <v>1</v>
      </c>
      <c r="K760" s="52" t="str">
        <f t="shared" si="26"/>
        <v>Row 3 - For a ‘Transport unit’ both ‘Location on board’ and ‘Amount’ are required</v>
      </c>
      <c r="L760" s="236" t="s">
        <v>1853</v>
      </c>
    </row>
    <row r="761" spans="7:12">
      <c r="G761" s="250" t="b">
        <f>IF(OR(INDEX(IHZ_HAZ_UNITTYPE,4,1)&lt;&gt;"",),IF(OR(INDEX(IHZ_HAZ_LOCATION,4,1)="",INDEX(IHZ_HAZ_AMOUNT,4,1)="",),FALSE,TRUE),TRUE)</f>
        <v>1</v>
      </c>
      <c r="H761" s="52" t="str">
        <f t="shared" si="25"/>
        <v>Row 4 - For a ‘Transport unit’ both ‘Location on board’ and ‘Amount’ are required</v>
      </c>
      <c r="I761" s="236" t="s">
        <v>1853</v>
      </c>
      <c r="J761" s="52" t="b">
        <f>IF(OR(INDEX(OHZ_HAZ_UNITTYPE,4,1)&lt;&gt;"",),IF(OR(INDEX(OHZ_HAZ_LOCATION,4,1)="",INDEX(OHZ_HAZ_AMOUNT,4,1)="",),FALSE,TRUE),TRUE)</f>
        <v>1</v>
      </c>
      <c r="K761" s="52" t="str">
        <f t="shared" si="26"/>
        <v>Row 4 - For a ‘Transport unit’ both ‘Location on board’ and ‘Amount’ are required</v>
      </c>
      <c r="L761" s="236" t="s">
        <v>1853</v>
      </c>
    </row>
    <row r="762" spans="7:12">
      <c r="G762" s="250" t="b">
        <f>IF(OR(INDEX(IHZ_HAZ_UNITTYPE,5,1)&lt;&gt;"",),IF(OR(INDEX(IHZ_HAZ_LOCATION,5,1)="",INDEX(IHZ_HAZ_AMOUNT,5,1)="",),FALSE,TRUE),TRUE)</f>
        <v>1</v>
      </c>
      <c r="H762" s="52" t="str">
        <f t="shared" si="25"/>
        <v>Row 5 - For a ‘Transport unit’ both ‘Location on board’ and ‘Amount’ are required</v>
      </c>
      <c r="I762" s="236" t="s">
        <v>1853</v>
      </c>
      <c r="J762" s="52" t="b">
        <f>IF(OR(INDEX(OHZ_HAZ_UNITTYPE,5,1)&lt;&gt;"",),IF(OR(INDEX(OHZ_HAZ_LOCATION,5,1)="",INDEX(OHZ_HAZ_AMOUNT,5,1)="",),FALSE,TRUE),TRUE)</f>
        <v>1</v>
      </c>
      <c r="K762" s="52" t="str">
        <f t="shared" si="26"/>
        <v>Row 5 - For a ‘Transport unit’ both ‘Location on board’ and ‘Amount’ are required</v>
      </c>
      <c r="L762" s="236" t="s">
        <v>1853</v>
      </c>
    </row>
    <row r="763" spans="7:12">
      <c r="G763" s="250" t="b">
        <f>IF(OR(INDEX(IHZ_HAZ_UNITTYPE,6,1)&lt;&gt;"",),IF(OR(INDEX(IHZ_HAZ_LOCATION,6,1)="",INDEX(IHZ_HAZ_AMOUNT,6,1)="",),FALSE,TRUE),TRUE)</f>
        <v>1</v>
      </c>
      <c r="H763" s="52" t="str">
        <f t="shared" si="25"/>
        <v>Row 6 - For a ‘Transport unit’ both ‘Location on board’ and ‘Amount’ are required</v>
      </c>
      <c r="I763" s="236" t="s">
        <v>1853</v>
      </c>
      <c r="J763" s="52" t="b">
        <f>IF(OR(INDEX(OHZ_HAZ_UNITTYPE,6,1)&lt;&gt;"",),IF(OR(INDEX(OHZ_HAZ_LOCATION,6,1)="",INDEX(OHZ_HAZ_AMOUNT,6,1)="",),FALSE,TRUE),TRUE)</f>
        <v>1</v>
      </c>
      <c r="K763" s="52" t="str">
        <f t="shared" si="26"/>
        <v>Row 6 - For a ‘Transport unit’ both ‘Location on board’ and ‘Amount’ are required</v>
      </c>
      <c r="L763" s="236" t="s">
        <v>1853</v>
      </c>
    </row>
    <row r="764" spans="7:12">
      <c r="G764" s="250" t="b">
        <f>IF(OR(INDEX(IHZ_HAZ_UNITTYPE,7,1)&lt;&gt;"",),IF(OR(INDEX(IHZ_HAZ_LOCATION,7,1)="",INDEX(IHZ_HAZ_AMOUNT,7,1)="",),FALSE,TRUE),TRUE)</f>
        <v>1</v>
      </c>
      <c r="H764" s="52" t="str">
        <f t="shared" si="25"/>
        <v>Row 7 - For a ‘Transport unit’ both ‘Location on board’ and ‘Amount’ are required</v>
      </c>
      <c r="I764" s="236" t="s">
        <v>1853</v>
      </c>
      <c r="J764" s="52" t="b">
        <f>IF(OR(INDEX(OHZ_HAZ_UNITTYPE,7,1)&lt;&gt;"",),IF(OR(INDEX(OHZ_HAZ_LOCATION,7,1)="",INDEX(OHZ_HAZ_AMOUNT,7,1)="",),FALSE,TRUE),TRUE)</f>
        <v>1</v>
      </c>
      <c r="K764" s="52" t="str">
        <f t="shared" si="26"/>
        <v>Row 7 - For a ‘Transport unit’ both ‘Location on board’ and ‘Amount’ are required</v>
      </c>
      <c r="L764" s="236" t="s">
        <v>1853</v>
      </c>
    </row>
    <row r="765" spans="7:12">
      <c r="G765" s="250" t="b">
        <f>IF(OR(INDEX(IHZ_HAZ_UNITTYPE,8,1)&lt;&gt;"",),IF(OR(INDEX(IHZ_HAZ_LOCATION,8,1)="",INDEX(IHZ_HAZ_AMOUNT,8,1)="",),FALSE,TRUE),TRUE)</f>
        <v>1</v>
      </c>
      <c r="H765" s="52" t="str">
        <f t="shared" si="25"/>
        <v>Row 8 - For a ‘Transport unit’ both ‘Location on board’ and ‘Amount’ are required</v>
      </c>
      <c r="I765" s="236" t="s">
        <v>1853</v>
      </c>
      <c r="J765" s="52" t="b">
        <f>IF(OR(INDEX(OHZ_HAZ_UNITTYPE,8,1)&lt;&gt;"",),IF(OR(INDEX(OHZ_HAZ_LOCATION,8,1)="",INDEX(OHZ_HAZ_AMOUNT,8,1)="",),FALSE,TRUE),TRUE)</f>
        <v>1</v>
      </c>
      <c r="K765" s="52" t="str">
        <f t="shared" si="26"/>
        <v>Row 8 - For a ‘Transport unit’ both ‘Location on board’ and ‘Amount’ are required</v>
      </c>
      <c r="L765" s="236" t="s">
        <v>1853</v>
      </c>
    </row>
    <row r="766" spans="7:12">
      <c r="G766" s="250" t="b">
        <f>IF(OR(INDEX(IHZ_HAZ_UNITTYPE,9,1)&lt;&gt;"",),IF(OR(INDEX(IHZ_HAZ_LOCATION,9,1)="",INDEX(IHZ_HAZ_AMOUNT,9,1)="",),FALSE,TRUE),TRUE)</f>
        <v>1</v>
      </c>
      <c r="H766" s="52" t="str">
        <f t="shared" si="25"/>
        <v>Row 9 - For a ‘Transport unit’ both ‘Location on board’ and ‘Amount’ are required</v>
      </c>
      <c r="I766" s="236" t="s">
        <v>1853</v>
      </c>
      <c r="J766" s="52" t="b">
        <f>IF(OR(INDEX(OHZ_HAZ_UNITTYPE,9,1)&lt;&gt;"",),IF(OR(INDEX(OHZ_HAZ_LOCATION,9,1)="",INDEX(OHZ_HAZ_AMOUNT,9,1)="",),FALSE,TRUE),TRUE)</f>
        <v>1</v>
      </c>
      <c r="K766" s="52" t="str">
        <f t="shared" si="26"/>
        <v>Row 9 - For a ‘Transport unit’ both ‘Location on board’ and ‘Amount’ are required</v>
      </c>
      <c r="L766" s="236" t="s">
        <v>1853</v>
      </c>
    </row>
    <row r="767" spans="7:12">
      <c r="G767" s="250" t="b">
        <f>IF(OR(INDEX(IHZ_HAZ_UNITTYPE,10,1)&lt;&gt;"",),IF(OR(INDEX(IHZ_HAZ_LOCATION,10,1)="",INDEX(IHZ_HAZ_AMOUNT,10,1)="",),FALSE,TRUE),TRUE)</f>
        <v>1</v>
      </c>
      <c r="H767" s="52" t="str">
        <f t="shared" si="25"/>
        <v>Row 10 - For a ‘Transport unit’ both ‘Location on board’ and ‘Amount’ are required</v>
      </c>
      <c r="I767" s="236" t="s">
        <v>1853</v>
      </c>
      <c r="J767" s="52" t="b">
        <f>IF(OR(INDEX(OHZ_HAZ_UNITTYPE,10,1)&lt;&gt;"",),IF(OR(INDEX(OHZ_HAZ_LOCATION,10,1)="",INDEX(OHZ_HAZ_AMOUNT,10,1)="",),FALSE,TRUE),TRUE)</f>
        <v>1</v>
      </c>
      <c r="K767" s="52" t="str">
        <f t="shared" si="26"/>
        <v>Row 10 - For a ‘Transport unit’ both ‘Location on board’ and ‘Amount’ are required</v>
      </c>
      <c r="L767" s="236" t="s">
        <v>1853</v>
      </c>
    </row>
    <row r="768" spans="7:12">
      <c r="G768" s="250" t="b">
        <f>IF(OR(INDEX(IHZ_HAZ_UNITTYPE,11,1)&lt;&gt;"",),IF(OR(INDEX(IHZ_HAZ_LOCATION,11,1)="",INDEX(IHZ_HAZ_AMOUNT,11,1)="",),FALSE,TRUE),TRUE)</f>
        <v>1</v>
      </c>
      <c r="H768" s="52" t="str">
        <f t="shared" si="25"/>
        <v>Row 11 - For a ‘Transport unit’ both ‘Location on board’ and ‘Amount’ are required</v>
      </c>
      <c r="I768" s="236" t="s">
        <v>1853</v>
      </c>
      <c r="J768" s="52" t="b">
        <f>IF(OR(INDEX(OHZ_HAZ_UNITTYPE,11,1)&lt;&gt;"",),IF(OR(INDEX(OHZ_HAZ_LOCATION,11,1)="",INDEX(OHZ_HAZ_AMOUNT,11,1)="",),FALSE,TRUE),TRUE)</f>
        <v>1</v>
      </c>
      <c r="K768" s="52" t="str">
        <f t="shared" si="26"/>
        <v>Row 11 - For a ‘Transport unit’ both ‘Location on board’ and ‘Amount’ are required</v>
      </c>
      <c r="L768" s="236" t="s">
        <v>1853</v>
      </c>
    </row>
    <row r="769" spans="7:12">
      <c r="G769" s="250" t="b">
        <f>IF(OR(INDEX(IHZ_HAZ_UNITTYPE,12,1)&lt;&gt;"",),IF(OR(INDEX(IHZ_HAZ_LOCATION,12,1)="",INDEX(IHZ_HAZ_AMOUNT,12,1)="",),FALSE,TRUE),TRUE)</f>
        <v>1</v>
      </c>
      <c r="H769" s="52" t="str">
        <f t="shared" si="25"/>
        <v>Row 12 - For a ‘Transport unit’ both ‘Location on board’ and ‘Amount’ are required</v>
      </c>
      <c r="I769" s="236" t="s">
        <v>1853</v>
      </c>
      <c r="J769" s="52" t="b">
        <f>IF(OR(INDEX(OHZ_HAZ_UNITTYPE,12,1)&lt;&gt;"",),IF(OR(INDEX(OHZ_HAZ_LOCATION,12,1)="",INDEX(OHZ_HAZ_AMOUNT,12,1)="",),FALSE,TRUE),TRUE)</f>
        <v>1</v>
      </c>
      <c r="K769" s="52" t="str">
        <f t="shared" si="26"/>
        <v>Row 12 - For a ‘Transport unit’ both ‘Location on board’ and ‘Amount’ are required</v>
      </c>
      <c r="L769" s="236" t="s">
        <v>1853</v>
      </c>
    </row>
    <row r="770" spans="7:12">
      <c r="G770" s="250" t="b">
        <f>IF(OR(INDEX(IHZ_HAZ_UNITTYPE,13,1)&lt;&gt;"",),IF(OR(INDEX(IHZ_HAZ_LOCATION,13,1)="",INDEX(IHZ_HAZ_AMOUNT,13,1)="",),FALSE,TRUE),TRUE)</f>
        <v>1</v>
      </c>
      <c r="H770" s="52" t="str">
        <f t="shared" si="25"/>
        <v>Row 13 - For a ‘Transport unit’ both ‘Location on board’ and ‘Amount’ are required</v>
      </c>
      <c r="I770" s="236" t="s">
        <v>1853</v>
      </c>
      <c r="J770" s="52" t="b">
        <f>IF(OR(INDEX(OHZ_HAZ_UNITTYPE,13,1)&lt;&gt;"",),IF(OR(INDEX(OHZ_HAZ_LOCATION,13,1)="",INDEX(OHZ_HAZ_AMOUNT,13,1)="",),FALSE,TRUE),TRUE)</f>
        <v>1</v>
      </c>
      <c r="K770" s="52" t="str">
        <f t="shared" si="26"/>
        <v>Row 13 - For a ‘Transport unit’ both ‘Location on board’ and ‘Amount’ are required</v>
      </c>
      <c r="L770" s="236" t="s">
        <v>1853</v>
      </c>
    </row>
    <row r="771" spans="7:12">
      <c r="G771" s="250" t="b">
        <f>IF(OR(INDEX(IHZ_HAZ_UNITTYPE,14,1)&lt;&gt;"",),IF(OR(INDEX(IHZ_HAZ_LOCATION,14,1)="",INDEX(IHZ_HAZ_AMOUNT,14,1)="",),FALSE,TRUE),TRUE)</f>
        <v>1</v>
      </c>
      <c r="H771" s="52" t="str">
        <f t="shared" si="25"/>
        <v>Row 14 - For a ‘Transport unit’ both ‘Location on board’ and ‘Amount’ are required</v>
      </c>
      <c r="I771" s="236" t="s">
        <v>1853</v>
      </c>
      <c r="J771" s="52" t="b">
        <f>IF(OR(INDEX(OHZ_HAZ_UNITTYPE,14,1)&lt;&gt;"",),IF(OR(INDEX(OHZ_HAZ_LOCATION,14,1)="",INDEX(OHZ_HAZ_AMOUNT,14,1)="",),FALSE,TRUE),TRUE)</f>
        <v>1</v>
      </c>
      <c r="K771" s="52" t="str">
        <f t="shared" si="26"/>
        <v>Row 14 - For a ‘Transport unit’ both ‘Location on board’ and ‘Amount’ are required</v>
      </c>
      <c r="L771" s="236" t="s">
        <v>1853</v>
      </c>
    </row>
    <row r="772" spans="7:12">
      <c r="G772" s="250" t="b">
        <f>IF(OR(INDEX(IHZ_HAZ_UNITTYPE,15,1)&lt;&gt;"",),IF(OR(INDEX(IHZ_HAZ_LOCATION,15,1)="",INDEX(IHZ_HAZ_AMOUNT,15,1)="",),FALSE,TRUE),TRUE)</f>
        <v>1</v>
      </c>
      <c r="H772" s="52" t="str">
        <f t="shared" si="25"/>
        <v>Row 15 - For a ‘Transport unit’ both ‘Location on board’ and ‘Amount’ are required</v>
      </c>
      <c r="I772" s="236" t="s">
        <v>1853</v>
      </c>
      <c r="J772" s="52" t="b">
        <f>IF(OR(INDEX(OHZ_HAZ_UNITTYPE,15,1)&lt;&gt;"",),IF(OR(INDEX(OHZ_HAZ_LOCATION,15,1)="",INDEX(OHZ_HAZ_AMOUNT,15,1)="",),FALSE,TRUE),TRUE)</f>
        <v>1</v>
      </c>
      <c r="K772" s="52" t="str">
        <f t="shared" si="26"/>
        <v>Row 15 - For a ‘Transport unit’ both ‘Location on board’ and ‘Amount’ are required</v>
      </c>
      <c r="L772" s="236" t="s">
        <v>1853</v>
      </c>
    </row>
    <row r="773" spans="7:12">
      <c r="G773" s="250" t="b">
        <f>IF(OR(INDEX(IHZ_HAZ_UNITTYPE,16,1)&lt;&gt;"",),IF(OR(INDEX(IHZ_HAZ_LOCATION,16,1)="",INDEX(IHZ_HAZ_AMOUNT,16,1)="",),FALSE,TRUE),TRUE)</f>
        <v>1</v>
      </c>
      <c r="H773" s="52" t="str">
        <f t="shared" si="25"/>
        <v>Row 16 - For a ‘Transport unit’ both ‘Location on board’ and ‘Amount’ are required</v>
      </c>
      <c r="I773" s="236" t="s">
        <v>1853</v>
      </c>
      <c r="J773" s="52" t="b">
        <f>IF(OR(INDEX(OHZ_HAZ_UNITTYPE,16,1)&lt;&gt;"",),IF(OR(INDEX(OHZ_HAZ_LOCATION,16,1)="",INDEX(OHZ_HAZ_AMOUNT,16,1)="",),FALSE,TRUE),TRUE)</f>
        <v>1</v>
      </c>
      <c r="K773" s="52" t="str">
        <f t="shared" si="26"/>
        <v>Row 16 - For a ‘Transport unit’ both ‘Location on board’ and ‘Amount’ are required</v>
      </c>
      <c r="L773" s="236" t="s">
        <v>1853</v>
      </c>
    </row>
    <row r="774" spans="7:12">
      <c r="G774" s="250" t="b">
        <f>IF(OR(INDEX(IHZ_HAZ_UNITTYPE,17,1)&lt;&gt;"",),IF(OR(INDEX(IHZ_HAZ_LOCATION,17,1)="",INDEX(IHZ_HAZ_AMOUNT,17,1)="",),FALSE,TRUE),TRUE)</f>
        <v>1</v>
      </c>
      <c r="H774" s="52" t="str">
        <f t="shared" si="25"/>
        <v>Row 17 - For a ‘Transport unit’ both ‘Location on board’ and ‘Amount’ are required</v>
      </c>
      <c r="I774" s="236" t="s">
        <v>1853</v>
      </c>
      <c r="J774" s="52" t="b">
        <f>IF(OR(INDEX(OHZ_HAZ_UNITTYPE,17,1)&lt;&gt;"",),IF(OR(INDEX(OHZ_HAZ_LOCATION,17,1)="",INDEX(OHZ_HAZ_AMOUNT,17,1)="",),FALSE,TRUE),TRUE)</f>
        <v>1</v>
      </c>
      <c r="K774" s="52" t="str">
        <f t="shared" si="26"/>
        <v>Row 17 - For a ‘Transport unit’ both ‘Location on board’ and ‘Amount’ are required</v>
      </c>
      <c r="L774" s="236" t="s">
        <v>1853</v>
      </c>
    </row>
    <row r="775" spans="7:12">
      <c r="G775" s="250" t="b">
        <f>IF(OR(INDEX(IHZ_HAZ_UNITTYPE,18,1)&lt;&gt;"",),IF(OR(INDEX(IHZ_HAZ_LOCATION,18,1)="",INDEX(IHZ_HAZ_AMOUNT,18,1)="",),FALSE,TRUE),TRUE)</f>
        <v>1</v>
      </c>
      <c r="H775" s="52" t="str">
        <f t="shared" si="25"/>
        <v>Row 18 - For a ‘Transport unit’ both ‘Location on board’ and ‘Amount’ are required</v>
      </c>
      <c r="I775" s="236" t="s">
        <v>1853</v>
      </c>
      <c r="J775" s="52" t="b">
        <f>IF(OR(INDEX(OHZ_HAZ_UNITTYPE,18,1)&lt;&gt;"",),IF(OR(INDEX(OHZ_HAZ_LOCATION,18,1)="",INDEX(OHZ_HAZ_AMOUNT,18,1)="",),FALSE,TRUE),TRUE)</f>
        <v>1</v>
      </c>
      <c r="K775" s="52" t="str">
        <f t="shared" si="26"/>
        <v>Row 18 - For a ‘Transport unit’ both ‘Location on board’ and ‘Amount’ are required</v>
      </c>
      <c r="L775" s="236" t="s">
        <v>1853</v>
      </c>
    </row>
    <row r="776" spans="7:12">
      <c r="G776" s="250" t="b">
        <f>IF(OR(INDEX(IHZ_HAZ_UNITTYPE,19,1)&lt;&gt;"",),IF(OR(INDEX(IHZ_HAZ_LOCATION,19,1)="",INDEX(IHZ_HAZ_AMOUNT,19,1)="",),FALSE,TRUE),TRUE)</f>
        <v>1</v>
      </c>
      <c r="H776" s="52" t="str">
        <f t="shared" si="25"/>
        <v>Row 19 - For a ‘Transport unit’ both ‘Location on board’ and ‘Amount’ are required</v>
      </c>
      <c r="I776" s="236" t="s">
        <v>1853</v>
      </c>
      <c r="J776" s="52" t="b">
        <f>IF(OR(INDEX(OHZ_HAZ_UNITTYPE,19,1)&lt;&gt;"",),IF(OR(INDEX(OHZ_HAZ_LOCATION,19,1)="",INDEX(OHZ_HAZ_AMOUNT,19,1)="",),FALSE,TRUE),TRUE)</f>
        <v>1</v>
      </c>
      <c r="K776" s="52" t="str">
        <f t="shared" si="26"/>
        <v>Row 19 - For a ‘Transport unit’ both ‘Location on board’ and ‘Amount’ are required</v>
      </c>
      <c r="L776" s="236" t="s">
        <v>1853</v>
      </c>
    </row>
    <row r="777" spans="7:12">
      <c r="G777" s="250" t="b">
        <f>IF(OR(INDEX(IHZ_HAZ_UNITTYPE,20,1)&lt;&gt;"",),IF(OR(INDEX(IHZ_HAZ_LOCATION,20,1)="",INDEX(IHZ_HAZ_AMOUNT,20,1)="",),FALSE,TRUE),TRUE)</f>
        <v>1</v>
      </c>
      <c r="H777" s="52" t="str">
        <f t="shared" si="25"/>
        <v>Row 20 - For a ‘Transport unit’ both ‘Location on board’ and ‘Amount’ are required</v>
      </c>
      <c r="I777" s="236" t="s">
        <v>1853</v>
      </c>
      <c r="J777" s="52" t="b">
        <f>IF(OR(INDEX(OHZ_HAZ_UNITTYPE,20,1)&lt;&gt;"",),IF(OR(INDEX(OHZ_HAZ_LOCATION,20,1)="",INDEX(OHZ_HAZ_AMOUNT,20,1)="",),FALSE,TRUE),TRUE)</f>
        <v>1</v>
      </c>
      <c r="K777" s="52" t="str">
        <f t="shared" si="26"/>
        <v>Row 20 - For a ‘Transport unit’ both ‘Location on board’ and ‘Amount’ are required</v>
      </c>
      <c r="L777" s="236" t="s">
        <v>1853</v>
      </c>
    </row>
    <row r="778" spans="7:12">
      <c r="G778" s="250" t="b">
        <f>IF(OR(INDEX(IHZ_HAZ_UNITTYPE,21,1)&lt;&gt;"",),IF(OR(INDEX(IHZ_HAZ_LOCATION,21,1)="",INDEX(IHZ_HAZ_AMOUNT,21,1)="",),FALSE,TRUE),TRUE)</f>
        <v>1</v>
      </c>
      <c r="H778" s="52" t="str">
        <f t="shared" si="25"/>
        <v>Row 21 - For a ‘Transport unit’ both ‘Location on board’ and ‘Amount’ are required</v>
      </c>
      <c r="I778" s="236" t="s">
        <v>1853</v>
      </c>
      <c r="J778" s="52" t="b">
        <f>IF(OR(INDEX(OHZ_HAZ_UNITTYPE,21,1)&lt;&gt;"",),IF(OR(INDEX(OHZ_HAZ_LOCATION,21,1)="",INDEX(OHZ_HAZ_AMOUNT,21,1)="",),FALSE,TRUE),TRUE)</f>
        <v>1</v>
      </c>
      <c r="K778" s="52" t="str">
        <f t="shared" si="26"/>
        <v>Row 21 - For a ‘Transport unit’ both ‘Location on board’ and ‘Amount’ are required</v>
      </c>
      <c r="L778" s="236" t="s">
        <v>1853</v>
      </c>
    </row>
    <row r="779" spans="7:12">
      <c r="G779" s="250" t="b">
        <f>IF(OR(INDEX(IHZ_HAZ_UNITTYPE,22,1)&lt;&gt;"",),IF(OR(INDEX(IHZ_HAZ_LOCATION,22,1)="",INDEX(IHZ_HAZ_AMOUNT,22,1)="",),FALSE,TRUE),TRUE)</f>
        <v>1</v>
      </c>
      <c r="H779" s="52" t="str">
        <f t="shared" si="25"/>
        <v>Row 22 - For a ‘Transport unit’ both ‘Location on board’ and ‘Amount’ are required</v>
      </c>
      <c r="I779" s="236" t="s">
        <v>1853</v>
      </c>
      <c r="J779" s="52" t="b">
        <f>IF(OR(INDEX(OHZ_HAZ_UNITTYPE,22,1)&lt;&gt;"",),IF(OR(INDEX(OHZ_HAZ_LOCATION,22,1)="",INDEX(OHZ_HAZ_AMOUNT,22,1)="",),FALSE,TRUE),TRUE)</f>
        <v>1</v>
      </c>
      <c r="K779" s="52" t="str">
        <f t="shared" si="26"/>
        <v>Row 22 - For a ‘Transport unit’ both ‘Location on board’ and ‘Amount’ are required</v>
      </c>
      <c r="L779" s="236" t="s">
        <v>1853</v>
      </c>
    </row>
    <row r="780" spans="7:12">
      <c r="G780" s="250" t="b">
        <f>IF(OR(INDEX(IHZ_HAZ_UNITTYPE,23,1)&lt;&gt;"",),IF(OR(INDEX(IHZ_HAZ_LOCATION,23,1)="",INDEX(IHZ_HAZ_AMOUNT,23,1)="",),FALSE,TRUE),TRUE)</f>
        <v>1</v>
      </c>
      <c r="H780" s="52" t="str">
        <f t="shared" si="25"/>
        <v>Row 23 - For a ‘Transport unit’ both ‘Location on board’ and ‘Amount’ are required</v>
      </c>
      <c r="I780" s="236" t="s">
        <v>1853</v>
      </c>
      <c r="J780" s="52" t="b">
        <f>IF(OR(INDEX(OHZ_HAZ_UNITTYPE,23,1)&lt;&gt;"",),IF(OR(INDEX(OHZ_HAZ_LOCATION,23,1)="",INDEX(OHZ_HAZ_AMOUNT,23,1)="",),FALSE,TRUE),TRUE)</f>
        <v>1</v>
      </c>
      <c r="K780" s="52" t="str">
        <f t="shared" si="26"/>
        <v>Row 23 - For a ‘Transport unit’ both ‘Location on board’ and ‘Amount’ are required</v>
      </c>
      <c r="L780" s="236" t="s">
        <v>1853</v>
      </c>
    </row>
    <row r="781" spans="7:12">
      <c r="G781" s="250" t="b">
        <f>IF(OR(INDEX(IHZ_HAZ_UNITTYPE,24,1)&lt;&gt;"",),IF(OR(INDEX(IHZ_HAZ_LOCATION,24,1)="",INDEX(IHZ_HAZ_AMOUNT,24,1)="",),FALSE,TRUE),TRUE)</f>
        <v>1</v>
      </c>
      <c r="H781" s="52" t="str">
        <f t="shared" si="25"/>
        <v>Row 24 - For a ‘Transport unit’ both ‘Location on board’ and ‘Amount’ are required</v>
      </c>
      <c r="I781" s="236" t="s">
        <v>1853</v>
      </c>
      <c r="J781" s="52" t="b">
        <f>IF(OR(INDEX(OHZ_HAZ_UNITTYPE,24,1)&lt;&gt;"",),IF(OR(INDEX(OHZ_HAZ_LOCATION,24,1)="",INDEX(OHZ_HAZ_AMOUNT,24,1)="",),FALSE,TRUE),TRUE)</f>
        <v>1</v>
      </c>
      <c r="K781" s="52" t="str">
        <f t="shared" si="26"/>
        <v>Row 24 - For a ‘Transport unit’ both ‘Location on board’ and ‘Amount’ are required</v>
      </c>
      <c r="L781" s="236" t="s">
        <v>1853</v>
      </c>
    </row>
    <row r="782" spans="7:12">
      <c r="G782" s="250" t="b">
        <f>IF(OR(INDEX(IHZ_HAZ_UNITTYPE,25,1)&lt;&gt;"",),IF(OR(INDEX(IHZ_HAZ_LOCATION,25,1)="",INDEX(IHZ_HAZ_AMOUNT,25,1)="",),FALSE,TRUE),TRUE)</f>
        <v>1</v>
      </c>
      <c r="H782" s="52" t="str">
        <f t="shared" si="25"/>
        <v>Row 25 - For a ‘Transport unit’ both ‘Location on board’ and ‘Amount’ are required</v>
      </c>
      <c r="I782" s="236" t="s">
        <v>1853</v>
      </c>
      <c r="J782" s="52" t="b">
        <f>IF(OR(INDEX(OHZ_HAZ_UNITTYPE,25,1)&lt;&gt;"",),IF(OR(INDEX(OHZ_HAZ_LOCATION,25,1)="",INDEX(OHZ_HAZ_AMOUNT,25,1)="",),FALSE,TRUE),TRUE)</f>
        <v>1</v>
      </c>
      <c r="K782" s="52" t="str">
        <f t="shared" si="26"/>
        <v>Row 25 - For a ‘Transport unit’ both ‘Location on board’ and ‘Amount’ are required</v>
      </c>
      <c r="L782" s="236" t="s">
        <v>1853</v>
      </c>
    </row>
    <row r="783" spans="7:12">
      <c r="G783" s="250" t="b">
        <f>IF(OR(INDEX(IHZ_HAZ_UNITTYPE,26,1)&lt;&gt;"",),IF(OR(INDEX(IHZ_HAZ_LOCATION,26,1)="",INDEX(IHZ_HAZ_AMOUNT,26,1)="",),FALSE,TRUE),TRUE)</f>
        <v>1</v>
      </c>
      <c r="H783" s="52" t="str">
        <f t="shared" si="25"/>
        <v>Row 26 - For a ‘Transport unit’ both ‘Location on board’ and ‘Amount’ are required</v>
      </c>
      <c r="I783" s="236" t="s">
        <v>1853</v>
      </c>
      <c r="J783" s="52" t="b">
        <f>IF(OR(INDEX(OHZ_HAZ_UNITTYPE,26,1)&lt;&gt;"",),IF(OR(INDEX(OHZ_HAZ_LOCATION,26,1)="",INDEX(OHZ_HAZ_AMOUNT,26,1)="",),FALSE,TRUE),TRUE)</f>
        <v>1</v>
      </c>
      <c r="K783" s="52" t="str">
        <f t="shared" si="26"/>
        <v>Row 26 - For a ‘Transport unit’ both ‘Location on board’ and ‘Amount’ are required</v>
      </c>
      <c r="L783" s="236" t="s">
        <v>1853</v>
      </c>
    </row>
    <row r="784" spans="7:12">
      <c r="G784" s="250" t="b">
        <f>IF(OR(INDEX(IHZ_HAZ_UNITTYPE,27,1)&lt;&gt;"",),IF(OR(INDEX(IHZ_HAZ_LOCATION,27,1)="",INDEX(IHZ_HAZ_AMOUNT,27,1)="",),FALSE,TRUE),TRUE)</f>
        <v>1</v>
      </c>
      <c r="H784" s="52" t="str">
        <f t="shared" si="25"/>
        <v>Row 27 - For a ‘Transport unit’ both ‘Location on board’ and ‘Amount’ are required</v>
      </c>
      <c r="I784" s="236" t="s">
        <v>1853</v>
      </c>
      <c r="J784" s="52" t="b">
        <f>IF(OR(INDEX(OHZ_HAZ_UNITTYPE,27,1)&lt;&gt;"",),IF(OR(INDEX(OHZ_HAZ_LOCATION,27,1)="",INDEX(OHZ_HAZ_AMOUNT,27,1)="",),FALSE,TRUE),TRUE)</f>
        <v>1</v>
      </c>
      <c r="K784" s="52" t="str">
        <f t="shared" si="26"/>
        <v>Row 27 - For a ‘Transport unit’ both ‘Location on board’ and ‘Amount’ are required</v>
      </c>
      <c r="L784" s="236" t="s">
        <v>1853</v>
      </c>
    </row>
    <row r="785" spans="7:12">
      <c r="G785" s="250" t="b">
        <f>IF(OR(INDEX(IHZ_HAZ_UNITTYPE,28,1)&lt;&gt;"",),IF(OR(INDEX(IHZ_HAZ_LOCATION,28,1)="",INDEX(IHZ_HAZ_AMOUNT,28,1)="",),FALSE,TRUE),TRUE)</f>
        <v>1</v>
      </c>
      <c r="H785" s="52" t="str">
        <f t="shared" si="25"/>
        <v>Row 28 - For a ‘Transport unit’ both ‘Location on board’ and ‘Amount’ are required</v>
      </c>
      <c r="I785" s="236" t="s">
        <v>1853</v>
      </c>
      <c r="J785" s="52" t="b">
        <f>IF(OR(INDEX(OHZ_HAZ_UNITTYPE,28,1)&lt;&gt;"",),IF(OR(INDEX(OHZ_HAZ_LOCATION,28,1)="",INDEX(OHZ_HAZ_AMOUNT,28,1)="",),FALSE,TRUE),TRUE)</f>
        <v>1</v>
      </c>
      <c r="K785" s="52" t="str">
        <f t="shared" si="26"/>
        <v>Row 28 - For a ‘Transport unit’ both ‘Location on board’ and ‘Amount’ are required</v>
      </c>
      <c r="L785" s="236" t="s">
        <v>1853</v>
      </c>
    </row>
    <row r="786" spans="7:12">
      <c r="G786" s="250" t="b">
        <f>IF(OR(INDEX(IHZ_HAZ_UNITTYPE,29,1)&lt;&gt;"",),IF(OR(INDEX(IHZ_HAZ_LOCATION,29,1)="",INDEX(IHZ_HAZ_AMOUNT,29,1)="",),FALSE,TRUE),TRUE)</f>
        <v>1</v>
      </c>
      <c r="H786" s="52" t="str">
        <f t="shared" si="25"/>
        <v>Row 29 - For a ‘Transport unit’ both ‘Location on board’ and ‘Amount’ are required</v>
      </c>
      <c r="I786" s="236" t="s">
        <v>1853</v>
      </c>
      <c r="J786" s="52" t="b">
        <f>IF(OR(INDEX(OHZ_HAZ_UNITTYPE,29,1)&lt;&gt;"",),IF(OR(INDEX(OHZ_HAZ_LOCATION,29,1)="",INDEX(OHZ_HAZ_AMOUNT,29,1)="",),FALSE,TRUE),TRUE)</f>
        <v>1</v>
      </c>
      <c r="K786" s="52" t="str">
        <f t="shared" si="26"/>
        <v>Row 29 - For a ‘Transport unit’ both ‘Location on board’ and ‘Amount’ are required</v>
      </c>
      <c r="L786" s="236" t="s">
        <v>1853</v>
      </c>
    </row>
    <row r="787" spans="7:12">
      <c r="G787" s="250" t="b">
        <f>IF(OR(INDEX(IHZ_HAZ_UNITTYPE,30,1)&lt;&gt;"",),IF(OR(INDEX(IHZ_HAZ_LOCATION,30,1)="",INDEX(IHZ_HAZ_AMOUNT,30,1)="",),FALSE,TRUE),TRUE)</f>
        <v>1</v>
      </c>
      <c r="H787" s="52" t="str">
        <f t="shared" si="25"/>
        <v>Row 30 - For a ‘Transport unit’ both ‘Location on board’ and ‘Amount’ are required</v>
      </c>
      <c r="I787" s="236" t="s">
        <v>1853</v>
      </c>
      <c r="J787" s="52" t="b">
        <f>IF(OR(INDEX(OHZ_HAZ_UNITTYPE,30,1)&lt;&gt;"",),IF(OR(INDEX(OHZ_HAZ_LOCATION,30,1)="",INDEX(OHZ_HAZ_AMOUNT,30,1)="",),FALSE,TRUE),TRUE)</f>
        <v>1</v>
      </c>
      <c r="K787" s="52" t="str">
        <f t="shared" si="26"/>
        <v>Row 30 - For a ‘Transport unit’ both ‘Location on board’ and ‘Amount’ are required</v>
      </c>
      <c r="L787" s="236" t="s">
        <v>1853</v>
      </c>
    </row>
    <row r="788" spans="7:12">
      <c r="G788" s="250" t="b">
        <f>IF(OR(INDEX(IHZ_HAZ_UNITTYPE,31,1)&lt;&gt;"",),IF(OR(INDEX(IHZ_HAZ_LOCATION,31,1)="",INDEX(IHZ_HAZ_AMOUNT,31,1)="",),FALSE,TRUE),TRUE)</f>
        <v>1</v>
      </c>
      <c r="H788" s="52" t="str">
        <f t="shared" si="25"/>
        <v>Row 31 - For a ‘Transport unit’ both ‘Location on board’ and ‘Amount’ are required</v>
      </c>
      <c r="I788" s="236" t="s">
        <v>1853</v>
      </c>
      <c r="J788" s="52" t="b">
        <f>IF(OR(INDEX(OHZ_HAZ_UNITTYPE,31,1)&lt;&gt;"",),IF(OR(INDEX(OHZ_HAZ_LOCATION,31,1)="",INDEX(OHZ_HAZ_AMOUNT,31,1)="",),FALSE,TRUE),TRUE)</f>
        <v>1</v>
      </c>
      <c r="K788" s="52" t="str">
        <f t="shared" si="26"/>
        <v>Row 31 - For a ‘Transport unit’ both ‘Location on board’ and ‘Amount’ are required</v>
      </c>
      <c r="L788" s="236" t="s">
        <v>1853</v>
      </c>
    </row>
    <row r="789" spans="7:12">
      <c r="G789" s="250" t="b">
        <f>IF(OR(INDEX(IHZ_HAZ_UNITTYPE,32,1)&lt;&gt;"",),IF(OR(INDEX(IHZ_HAZ_LOCATION,32,1)="",INDEX(IHZ_HAZ_AMOUNT,32,1)="",),FALSE,TRUE),TRUE)</f>
        <v>1</v>
      </c>
      <c r="H789" s="52" t="str">
        <f t="shared" si="25"/>
        <v>Row 32 - For a ‘Transport unit’ both ‘Location on board’ and ‘Amount’ are required</v>
      </c>
      <c r="I789" s="236" t="s">
        <v>1853</v>
      </c>
      <c r="J789" s="52" t="b">
        <f>IF(OR(INDEX(OHZ_HAZ_UNITTYPE,32,1)&lt;&gt;"",),IF(OR(INDEX(OHZ_HAZ_LOCATION,32,1)="",INDEX(OHZ_HAZ_AMOUNT,32,1)="",),FALSE,TRUE),TRUE)</f>
        <v>1</v>
      </c>
      <c r="K789" s="52" t="str">
        <f t="shared" si="26"/>
        <v>Row 32 - For a ‘Transport unit’ both ‘Location on board’ and ‘Amount’ are required</v>
      </c>
      <c r="L789" s="236" t="s">
        <v>1853</v>
      </c>
    </row>
    <row r="790" spans="7:12">
      <c r="G790" s="250" t="b">
        <f>IF(OR(INDEX(IHZ_HAZ_UNITTYPE,33,1)&lt;&gt;"",),IF(OR(INDEX(IHZ_HAZ_LOCATION,33,1)="",INDEX(IHZ_HAZ_AMOUNT,33,1)="",),FALSE,TRUE),TRUE)</f>
        <v>1</v>
      </c>
      <c r="H790" s="52" t="str">
        <f t="shared" si="25"/>
        <v>Row 33 - For a ‘Transport unit’ both ‘Location on board’ and ‘Amount’ are required</v>
      </c>
      <c r="I790" s="236" t="s">
        <v>1853</v>
      </c>
      <c r="J790" s="52" t="b">
        <f>IF(OR(INDEX(OHZ_HAZ_UNITTYPE,33,1)&lt;&gt;"",),IF(OR(INDEX(OHZ_HAZ_LOCATION,33,1)="",INDEX(OHZ_HAZ_AMOUNT,33,1)="",),FALSE,TRUE),TRUE)</f>
        <v>1</v>
      </c>
      <c r="K790" s="52" t="str">
        <f t="shared" si="26"/>
        <v>Row 33 - For a ‘Transport unit’ both ‘Location on board’ and ‘Amount’ are required</v>
      </c>
      <c r="L790" s="236" t="s">
        <v>1853</v>
      </c>
    </row>
    <row r="791" spans="7:12">
      <c r="G791" s="250" t="b">
        <f>IF(OR(INDEX(IHZ_HAZ_UNITTYPE,34,1)&lt;&gt;"",),IF(OR(INDEX(IHZ_HAZ_LOCATION,34,1)="",INDEX(IHZ_HAZ_AMOUNT,34,1)="",),FALSE,TRUE),TRUE)</f>
        <v>1</v>
      </c>
      <c r="H791" s="52" t="str">
        <f t="shared" si="25"/>
        <v>Row 34 - For a ‘Transport unit’ both ‘Location on board’ and ‘Amount’ are required</v>
      </c>
      <c r="I791" s="236" t="s">
        <v>1853</v>
      </c>
      <c r="J791" s="52" t="b">
        <f>IF(OR(INDEX(OHZ_HAZ_UNITTYPE,34,1)&lt;&gt;"",),IF(OR(INDEX(OHZ_HAZ_LOCATION,34,1)="",INDEX(OHZ_HAZ_AMOUNT,34,1)="",),FALSE,TRUE),TRUE)</f>
        <v>1</v>
      </c>
      <c r="K791" s="52" t="str">
        <f t="shared" si="26"/>
        <v>Row 34 - For a ‘Transport unit’ both ‘Location on board’ and ‘Amount’ are required</v>
      </c>
      <c r="L791" s="236" t="s">
        <v>1853</v>
      </c>
    </row>
    <row r="792" spans="7:12">
      <c r="G792" s="250" t="b">
        <f>IF(OR(INDEX(IHZ_HAZ_UNITTYPE,35,1)&lt;&gt;"",),IF(OR(INDEX(IHZ_HAZ_LOCATION,35,1)="",INDEX(IHZ_HAZ_AMOUNT,35,1)="",),FALSE,TRUE),TRUE)</f>
        <v>1</v>
      </c>
      <c r="H792" s="52" t="str">
        <f t="shared" si="25"/>
        <v>Row 35 - For a ‘Transport unit’ both ‘Location on board’ and ‘Amount’ are required</v>
      </c>
      <c r="I792" s="236" t="s">
        <v>1853</v>
      </c>
      <c r="J792" s="52" t="b">
        <f>IF(OR(INDEX(OHZ_HAZ_UNITTYPE,35,1)&lt;&gt;"",),IF(OR(INDEX(OHZ_HAZ_LOCATION,35,1)="",INDEX(OHZ_HAZ_AMOUNT,35,1)="",),FALSE,TRUE),TRUE)</f>
        <v>1</v>
      </c>
      <c r="K792" s="52" t="str">
        <f t="shared" si="26"/>
        <v>Row 35 - For a ‘Transport unit’ both ‘Location on board’ and ‘Amount’ are required</v>
      </c>
      <c r="L792" s="236" t="s">
        <v>1853</v>
      </c>
    </row>
    <row r="793" spans="7:12">
      <c r="G793" s="250" t="b">
        <f>IF(OR(INDEX(IHZ_HAZ_UNITTYPE,36,1)&lt;&gt;"",),IF(OR(INDEX(IHZ_HAZ_LOCATION,36,1)="",INDEX(IHZ_HAZ_AMOUNT,36,1)="",),FALSE,TRUE),TRUE)</f>
        <v>1</v>
      </c>
      <c r="H793" s="52" t="str">
        <f t="shared" si="25"/>
        <v>Row 36 - For a ‘Transport unit’ both ‘Location on board’ and ‘Amount’ are required</v>
      </c>
      <c r="I793" s="236" t="s">
        <v>1853</v>
      </c>
      <c r="J793" s="52" t="b">
        <f>IF(OR(INDEX(OHZ_HAZ_UNITTYPE,36,1)&lt;&gt;"",),IF(OR(INDEX(OHZ_HAZ_LOCATION,36,1)="",INDEX(OHZ_HAZ_AMOUNT,36,1)="",),FALSE,TRUE),TRUE)</f>
        <v>1</v>
      </c>
      <c r="K793" s="52" t="str">
        <f t="shared" si="26"/>
        <v>Row 36 - For a ‘Transport unit’ both ‘Location on board’ and ‘Amount’ are required</v>
      </c>
      <c r="L793" s="236" t="s">
        <v>1853</v>
      </c>
    </row>
    <row r="794" spans="7:12">
      <c r="G794" s="250" t="b">
        <f>IF(OR(INDEX(IHZ_HAZ_UNITTYPE,37,1)&lt;&gt;"",),IF(OR(INDEX(IHZ_HAZ_LOCATION,37,1)="",INDEX(IHZ_HAZ_AMOUNT,37,1)="",),FALSE,TRUE),TRUE)</f>
        <v>1</v>
      </c>
      <c r="H794" s="52" t="str">
        <f t="shared" si="25"/>
        <v>Row 37 - For a ‘Transport unit’ both ‘Location on board’ and ‘Amount’ are required</v>
      </c>
      <c r="I794" s="236" t="s">
        <v>1853</v>
      </c>
      <c r="J794" s="52" t="b">
        <f>IF(OR(INDEX(OHZ_HAZ_UNITTYPE,37,1)&lt;&gt;"",),IF(OR(INDEX(OHZ_HAZ_LOCATION,37,1)="",INDEX(OHZ_HAZ_AMOUNT,37,1)="",),FALSE,TRUE),TRUE)</f>
        <v>1</v>
      </c>
      <c r="K794" s="52" t="str">
        <f t="shared" si="26"/>
        <v>Row 37 - For a ‘Transport unit’ both ‘Location on board’ and ‘Amount’ are required</v>
      </c>
      <c r="L794" s="236" t="s">
        <v>1853</v>
      </c>
    </row>
    <row r="795" spans="7:12">
      <c r="G795" s="250" t="b">
        <f>IF(OR(INDEX(IHZ_HAZ_UNITTYPE,38,1)&lt;&gt;"",),IF(OR(INDEX(IHZ_HAZ_LOCATION,38,1)="",INDEX(IHZ_HAZ_AMOUNT,38,1)="",),FALSE,TRUE),TRUE)</f>
        <v>1</v>
      </c>
      <c r="H795" s="52" t="str">
        <f t="shared" si="25"/>
        <v>Row 38 - For a ‘Transport unit’ both ‘Location on board’ and ‘Amount’ are required</v>
      </c>
      <c r="I795" s="236" t="s">
        <v>1853</v>
      </c>
      <c r="J795" s="52" t="b">
        <f>IF(OR(INDEX(OHZ_HAZ_UNITTYPE,38,1)&lt;&gt;"",),IF(OR(INDEX(OHZ_HAZ_LOCATION,38,1)="",INDEX(OHZ_HAZ_AMOUNT,38,1)="",),FALSE,TRUE),TRUE)</f>
        <v>1</v>
      </c>
      <c r="K795" s="52" t="str">
        <f t="shared" si="26"/>
        <v>Row 38 - For a ‘Transport unit’ both ‘Location on board’ and ‘Amount’ are required</v>
      </c>
      <c r="L795" s="236" t="s">
        <v>1853</v>
      </c>
    </row>
    <row r="796" spans="7:12">
      <c r="G796" s="250" t="b">
        <f>IF(OR(INDEX(IHZ_HAZ_UNITTYPE,39,1)&lt;&gt;"",),IF(OR(INDEX(IHZ_HAZ_LOCATION,39,1)="",INDEX(IHZ_HAZ_AMOUNT,39,1)="",),FALSE,TRUE),TRUE)</f>
        <v>1</v>
      </c>
      <c r="H796" s="52" t="str">
        <f t="shared" si="25"/>
        <v>Row 39 - For a ‘Transport unit’ both ‘Location on board’ and ‘Amount’ are required</v>
      </c>
      <c r="I796" s="236" t="s">
        <v>1853</v>
      </c>
      <c r="J796" s="52" t="b">
        <f>IF(OR(INDEX(OHZ_HAZ_UNITTYPE,39,1)&lt;&gt;"",),IF(OR(INDEX(OHZ_HAZ_LOCATION,39,1)="",INDEX(OHZ_HAZ_AMOUNT,39,1)="",),FALSE,TRUE),TRUE)</f>
        <v>1</v>
      </c>
      <c r="K796" s="52" t="str">
        <f t="shared" si="26"/>
        <v>Row 39 - For a ‘Transport unit’ both ‘Location on board’ and ‘Amount’ are required</v>
      </c>
      <c r="L796" s="236" t="s">
        <v>1853</v>
      </c>
    </row>
    <row r="797" spans="7:12">
      <c r="G797" s="250" t="b">
        <f>IF(OR(INDEX(IHZ_HAZ_UNITTYPE,40,1)&lt;&gt;"",),IF(OR(INDEX(IHZ_HAZ_LOCATION,40,1)="",INDEX(IHZ_HAZ_AMOUNT,40,1)="",),FALSE,TRUE),TRUE)</f>
        <v>1</v>
      </c>
      <c r="H797" s="52" t="str">
        <f t="shared" si="25"/>
        <v>Row 40 - For a ‘Transport unit’ both ‘Location on board’ and ‘Amount’ are required</v>
      </c>
      <c r="I797" s="236" t="s">
        <v>1853</v>
      </c>
      <c r="J797" s="52" t="b">
        <f>IF(OR(INDEX(OHZ_HAZ_UNITTYPE,40,1)&lt;&gt;"",),IF(OR(INDEX(OHZ_HAZ_LOCATION,40,1)="",INDEX(OHZ_HAZ_AMOUNT,40,1)="",),FALSE,TRUE),TRUE)</f>
        <v>1</v>
      </c>
      <c r="K797" s="52" t="str">
        <f t="shared" si="26"/>
        <v>Row 40 - For a ‘Transport unit’ both ‘Location on board’ and ‘Amount’ are required</v>
      </c>
      <c r="L797" s="236" t="s">
        <v>1853</v>
      </c>
    </row>
    <row r="798" spans="7:12">
      <c r="G798" s="250" t="b">
        <f>IF(OR(INDEX(IHZ_HAZ_UNITTYPE,41,1)&lt;&gt;"",),IF(OR(INDEX(IHZ_HAZ_LOCATION,41,1)="",INDEX(IHZ_HAZ_AMOUNT,41,1)="",),FALSE,TRUE),TRUE)</f>
        <v>1</v>
      </c>
      <c r="H798" s="52" t="str">
        <f t="shared" si="25"/>
        <v>Row 41 - For a ‘Transport unit’ both ‘Location on board’ and ‘Amount’ are required</v>
      </c>
      <c r="I798" s="236" t="s">
        <v>1853</v>
      </c>
      <c r="J798" s="52" t="b">
        <f>IF(OR(INDEX(OHZ_HAZ_UNITTYPE,41,1)&lt;&gt;"",),IF(OR(INDEX(OHZ_HAZ_LOCATION,41,1)="",INDEX(OHZ_HAZ_AMOUNT,41,1)="",),FALSE,TRUE),TRUE)</f>
        <v>1</v>
      </c>
      <c r="K798" s="52" t="str">
        <f t="shared" si="26"/>
        <v>Row 41 - For a ‘Transport unit’ both ‘Location on board’ and ‘Amount’ are required</v>
      </c>
      <c r="L798" s="236" t="s">
        <v>1853</v>
      </c>
    </row>
    <row r="799" spans="7:12">
      <c r="G799" s="250" t="b">
        <f>IF(OR(INDEX(IHZ_HAZ_UNITTYPE,42,1)&lt;&gt;"",),IF(OR(INDEX(IHZ_HAZ_LOCATION,42,1)="",INDEX(IHZ_HAZ_AMOUNT,42,1)="",),FALSE,TRUE),TRUE)</f>
        <v>1</v>
      </c>
      <c r="H799" s="52" t="str">
        <f t="shared" si="25"/>
        <v>Row 42 - For a ‘Transport unit’ both ‘Location on board’ and ‘Amount’ are required</v>
      </c>
      <c r="I799" s="236" t="s">
        <v>1853</v>
      </c>
      <c r="J799" s="52" t="b">
        <f>IF(OR(INDEX(OHZ_HAZ_UNITTYPE,42,1)&lt;&gt;"",),IF(OR(INDEX(OHZ_HAZ_LOCATION,42,1)="",INDEX(OHZ_HAZ_AMOUNT,42,1)="",),FALSE,TRUE),TRUE)</f>
        <v>1</v>
      </c>
      <c r="K799" s="52" t="str">
        <f t="shared" si="26"/>
        <v>Row 42 - For a ‘Transport unit’ both ‘Location on board’ and ‘Amount’ are required</v>
      </c>
      <c r="L799" s="236" t="s">
        <v>1853</v>
      </c>
    </row>
    <row r="800" spans="7:12">
      <c r="G800" s="250" t="b">
        <f>IF(OR(INDEX(IHZ_HAZ_UNITTYPE,43,1)&lt;&gt;"",),IF(OR(INDEX(IHZ_HAZ_LOCATION,43,1)="",INDEX(IHZ_HAZ_AMOUNT,43,1)="",),FALSE,TRUE),TRUE)</f>
        <v>1</v>
      </c>
      <c r="H800" s="52" t="str">
        <f t="shared" si="25"/>
        <v>Row 43 - For a ‘Transport unit’ both ‘Location on board’ and ‘Amount’ are required</v>
      </c>
      <c r="I800" s="236" t="s">
        <v>1853</v>
      </c>
      <c r="J800" s="52" t="b">
        <f>IF(OR(INDEX(OHZ_HAZ_UNITTYPE,43,1)&lt;&gt;"",),IF(OR(INDEX(OHZ_HAZ_LOCATION,43,1)="",INDEX(OHZ_HAZ_AMOUNT,43,1)="",),FALSE,TRUE),TRUE)</f>
        <v>1</v>
      </c>
      <c r="K800" s="52" t="str">
        <f t="shared" si="26"/>
        <v>Row 43 - For a ‘Transport unit’ both ‘Location on board’ and ‘Amount’ are required</v>
      </c>
      <c r="L800" s="236" t="s">
        <v>1853</v>
      </c>
    </row>
    <row r="801" spans="7:12">
      <c r="G801" s="250" t="b">
        <f>IF(OR(INDEX(IHZ_HAZ_UNITTYPE,44,1)&lt;&gt;"",),IF(OR(INDEX(IHZ_HAZ_LOCATION,44,1)="",INDEX(IHZ_HAZ_AMOUNT,44,1)="",),FALSE,TRUE),TRUE)</f>
        <v>1</v>
      </c>
      <c r="H801" s="52" t="str">
        <f t="shared" si="25"/>
        <v>Row 44 - For a ‘Transport unit’ both ‘Location on board’ and ‘Amount’ are required</v>
      </c>
      <c r="I801" s="236" t="s">
        <v>1853</v>
      </c>
      <c r="J801" s="52" t="b">
        <f>IF(OR(INDEX(OHZ_HAZ_UNITTYPE,44,1)&lt;&gt;"",),IF(OR(INDEX(OHZ_HAZ_LOCATION,44,1)="",INDEX(OHZ_HAZ_AMOUNT,44,1)="",),FALSE,TRUE),TRUE)</f>
        <v>1</v>
      </c>
      <c r="K801" s="52" t="str">
        <f t="shared" si="26"/>
        <v>Row 44 - For a ‘Transport unit’ both ‘Location on board’ and ‘Amount’ are required</v>
      </c>
      <c r="L801" s="236" t="s">
        <v>1853</v>
      </c>
    </row>
    <row r="802" spans="7:12">
      <c r="G802" s="250" t="b">
        <f>IF(OR(INDEX(IHZ_HAZ_UNITTYPE,45,1)&lt;&gt;"",),IF(OR(INDEX(IHZ_HAZ_LOCATION,45,1)="",INDEX(IHZ_HAZ_AMOUNT,45,1)="",),FALSE,TRUE),TRUE)</f>
        <v>1</v>
      </c>
      <c r="H802" s="52" t="str">
        <f t="shared" si="25"/>
        <v>Row 45 - For a ‘Transport unit’ both ‘Location on board’ and ‘Amount’ are required</v>
      </c>
      <c r="I802" s="236" t="s">
        <v>1853</v>
      </c>
      <c r="J802" s="52" t="b">
        <f>IF(OR(INDEX(OHZ_HAZ_UNITTYPE,45,1)&lt;&gt;"",),IF(OR(INDEX(OHZ_HAZ_LOCATION,45,1)="",INDEX(OHZ_HAZ_AMOUNT,45,1)="",),FALSE,TRUE),TRUE)</f>
        <v>1</v>
      </c>
      <c r="K802" s="52" t="str">
        <f t="shared" si="26"/>
        <v>Row 45 - For a ‘Transport unit’ both ‘Location on board’ and ‘Amount’ are required</v>
      </c>
      <c r="L802" s="236" t="s">
        <v>1853</v>
      </c>
    </row>
    <row r="803" spans="7:12">
      <c r="G803" s="250" t="b">
        <f>IF(OR(INDEX(IHZ_HAZ_UNITTYPE,46,1)&lt;&gt;"",),IF(OR(INDEX(IHZ_HAZ_LOCATION,46,1)="",INDEX(IHZ_HAZ_AMOUNT,46,1)="",),FALSE,TRUE),TRUE)</f>
        <v>1</v>
      </c>
      <c r="H803" s="52" t="str">
        <f t="shared" si="25"/>
        <v>Row 46 - For a ‘Transport unit’ both ‘Location on board’ and ‘Amount’ are required</v>
      </c>
      <c r="I803" s="236" t="s">
        <v>1853</v>
      </c>
      <c r="J803" s="52" t="b">
        <f>IF(OR(INDEX(OHZ_HAZ_UNITTYPE,46,1)&lt;&gt;"",),IF(OR(INDEX(OHZ_HAZ_LOCATION,46,1)="",INDEX(OHZ_HAZ_AMOUNT,46,1)="",),FALSE,TRUE),TRUE)</f>
        <v>1</v>
      </c>
      <c r="K803" s="52" t="str">
        <f t="shared" si="26"/>
        <v>Row 46 - For a ‘Transport unit’ both ‘Location on board’ and ‘Amount’ are required</v>
      </c>
      <c r="L803" s="236" t="s">
        <v>1853</v>
      </c>
    </row>
    <row r="804" spans="7:12">
      <c r="G804" s="250" t="b">
        <f>IF(OR(INDEX(IHZ_HAZ_UNITTYPE,47,1)&lt;&gt;"",),IF(OR(INDEX(IHZ_HAZ_LOCATION,47,1)="",INDEX(IHZ_HAZ_AMOUNT,47,1)="",),FALSE,TRUE),TRUE)</f>
        <v>1</v>
      </c>
      <c r="H804" s="52" t="str">
        <f t="shared" si="25"/>
        <v>Row 47 - For a ‘Transport unit’ both ‘Location on board’ and ‘Amount’ are required</v>
      </c>
      <c r="I804" s="236" t="s">
        <v>1853</v>
      </c>
      <c r="J804" s="52" t="b">
        <f>IF(OR(INDEX(OHZ_HAZ_UNITTYPE,47,1)&lt;&gt;"",),IF(OR(INDEX(OHZ_HAZ_LOCATION,47,1)="",INDEX(OHZ_HAZ_AMOUNT,47,1)="",),FALSE,TRUE),TRUE)</f>
        <v>1</v>
      </c>
      <c r="K804" s="52" t="str">
        <f t="shared" si="26"/>
        <v>Row 47 - For a ‘Transport unit’ both ‘Location on board’ and ‘Amount’ are required</v>
      </c>
      <c r="L804" s="236" t="s">
        <v>1853</v>
      </c>
    </row>
    <row r="805" spans="7:12">
      <c r="G805" s="250" t="b">
        <f>IF(OR(INDEX(IHZ_HAZ_UNITTYPE,48,1)&lt;&gt;"",),IF(OR(INDEX(IHZ_HAZ_LOCATION,48,1)="",INDEX(IHZ_HAZ_AMOUNT,48,1)="",),FALSE,TRUE),TRUE)</f>
        <v>1</v>
      </c>
      <c r="H805" s="52" t="str">
        <f t="shared" si="25"/>
        <v>Row 48 - For a ‘Transport unit’ both ‘Location on board’ and ‘Amount’ are required</v>
      </c>
      <c r="I805" s="236" t="s">
        <v>1853</v>
      </c>
      <c r="J805" s="52" t="b">
        <f>IF(OR(INDEX(OHZ_HAZ_UNITTYPE,48,1)&lt;&gt;"",),IF(OR(INDEX(OHZ_HAZ_LOCATION,48,1)="",INDEX(OHZ_HAZ_AMOUNT,48,1)="",),FALSE,TRUE),TRUE)</f>
        <v>1</v>
      </c>
      <c r="K805" s="52" t="str">
        <f t="shared" si="26"/>
        <v>Row 48 - For a ‘Transport unit’ both ‘Location on board’ and ‘Amount’ are required</v>
      </c>
      <c r="L805" s="236" t="s">
        <v>1853</v>
      </c>
    </row>
    <row r="806" spans="7:12">
      <c r="G806" s="250" t="b">
        <f>IF(OR(INDEX(IHZ_HAZ_UNITTYPE,49,1)&lt;&gt;"",),IF(OR(INDEX(IHZ_HAZ_LOCATION,49,1)="",INDEX(IHZ_HAZ_AMOUNT,49,1)="",),FALSE,TRUE),TRUE)</f>
        <v>1</v>
      </c>
      <c r="H806" s="52" t="str">
        <f t="shared" si="25"/>
        <v>Row 49 - For a ‘Transport unit’ both ‘Location on board’ and ‘Amount’ are required</v>
      </c>
      <c r="I806" s="236" t="s">
        <v>1853</v>
      </c>
      <c r="J806" s="52" t="b">
        <f>IF(OR(INDEX(OHZ_HAZ_UNITTYPE,49,1)&lt;&gt;"",),IF(OR(INDEX(OHZ_HAZ_LOCATION,49,1)="",INDEX(OHZ_HAZ_AMOUNT,49,1)="",),FALSE,TRUE),TRUE)</f>
        <v>1</v>
      </c>
      <c r="K806" s="52" t="str">
        <f t="shared" si="26"/>
        <v>Row 49 - For a ‘Transport unit’ both ‘Location on board’ and ‘Amount’ are required</v>
      </c>
      <c r="L806" s="236" t="s">
        <v>1853</v>
      </c>
    </row>
    <row r="807" spans="7:12">
      <c r="G807" s="250" t="b">
        <f>IF(OR(INDEX(IHZ_HAZ_UNITTYPE,50,1)&lt;&gt;"",),IF(OR(INDEX(IHZ_HAZ_LOCATION,50,1)="",INDEX(IHZ_HAZ_AMOUNT,50,1)="",),FALSE,TRUE),TRUE)</f>
        <v>1</v>
      </c>
      <c r="H807" s="52" t="str">
        <f t="shared" si="25"/>
        <v>Row 50 - For a ‘Transport unit’ both ‘Location on board’ and ‘Amount’ are required</v>
      </c>
      <c r="I807" s="236" t="s">
        <v>1853</v>
      </c>
      <c r="J807" s="52" t="b">
        <f>IF(OR(INDEX(OHZ_HAZ_UNITTYPE,50,1)&lt;&gt;"",),IF(OR(INDEX(OHZ_HAZ_LOCATION,50,1)="",INDEX(OHZ_HAZ_AMOUNT,50,1)="",),FALSE,TRUE),TRUE)</f>
        <v>1</v>
      </c>
      <c r="K807" s="52" t="str">
        <f t="shared" si="26"/>
        <v>Row 50 - For a ‘Transport unit’ both ‘Location on board’ and ‘Amount’ are required</v>
      </c>
      <c r="L807" s="236" t="s">
        <v>1853</v>
      </c>
    </row>
    <row r="808" spans="7:12">
      <c r="G808" s="250" t="b">
        <f>IF(OR(INDEX(IHZ_HAZ_UNITTYPE,51,1)&lt;&gt;"",),IF(OR(INDEX(IHZ_HAZ_LOCATION,51,1)="",INDEX(IHZ_HAZ_AMOUNT,51,1)="",),FALSE,TRUE),TRUE)</f>
        <v>1</v>
      </c>
      <c r="H808" s="52" t="str">
        <f t="shared" si="25"/>
        <v>Row 51 - For a ‘Transport unit’ both ‘Location on board’ and ‘Amount’ are required</v>
      </c>
      <c r="I808" s="236" t="s">
        <v>1853</v>
      </c>
      <c r="J808" s="52" t="b">
        <f>IF(OR(INDEX(OHZ_HAZ_UNITTYPE,51,1)&lt;&gt;"",),IF(OR(INDEX(OHZ_HAZ_LOCATION,51,1)="",INDEX(OHZ_HAZ_AMOUNT,51,1)="",),FALSE,TRUE),TRUE)</f>
        <v>1</v>
      </c>
      <c r="K808" s="52" t="str">
        <f t="shared" si="26"/>
        <v>Row 51 - For a ‘Transport unit’ both ‘Location on board’ and ‘Amount’ are required</v>
      </c>
      <c r="L808" s="236" t="s">
        <v>1853</v>
      </c>
    </row>
    <row r="809" spans="7:12">
      <c r="G809" s="250" t="b">
        <f>IF(OR(INDEX(IHZ_HAZ_UNITTYPE,52,1)&lt;&gt;"",),IF(OR(INDEX(IHZ_HAZ_LOCATION,52,1)="",INDEX(IHZ_HAZ_AMOUNT,52,1)="",),FALSE,TRUE),TRUE)</f>
        <v>1</v>
      </c>
      <c r="H809" s="52" t="str">
        <f t="shared" si="25"/>
        <v>Row 52 - For a ‘Transport unit’ both ‘Location on board’ and ‘Amount’ are required</v>
      </c>
      <c r="I809" s="236" t="s">
        <v>1853</v>
      </c>
      <c r="J809" s="52" t="b">
        <f>IF(OR(INDEX(OHZ_HAZ_UNITTYPE,52,1)&lt;&gt;"",),IF(OR(INDEX(OHZ_HAZ_LOCATION,52,1)="",INDEX(OHZ_HAZ_AMOUNT,52,1)="",),FALSE,TRUE),TRUE)</f>
        <v>1</v>
      </c>
      <c r="K809" s="52" t="str">
        <f t="shared" si="26"/>
        <v>Row 52 - For a ‘Transport unit’ both ‘Location on board’ and ‘Amount’ are required</v>
      </c>
      <c r="L809" s="236" t="s">
        <v>1853</v>
      </c>
    </row>
    <row r="810" spans="7:12">
      <c r="G810" s="250" t="b">
        <f>IF(OR(INDEX(IHZ_HAZ_UNITTYPE,53,1)&lt;&gt;"",),IF(OR(INDEX(IHZ_HAZ_LOCATION,53,1)="",INDEX(IHZ_HAZ_AMOUNT,53,1)="",),FALSE,TRUE),TRUE)</f>
        <v>1</v>
      </c>
      <c r="H810" s="52" t="str">
        <f t="shared" si="25"/>
        <v>Row 53 - For a ‘Transport unit’ both ‘Location on board’ and ‘Amount’ are required</v>
      </c>
      <c r="I810" s="236" t="s">
        <v>1853</v>
      </c>
      <c r="J810" s="52" t="b">
        <f>IF(OR(INDEX(OHZ_HAZ_UNITTYPE,53,1)&lt;&gt;"",),IF(OR(INDEX(OHZ_HAZ_LOCATION,53,1)="",INDEX(OHZ_HAZ_AMOUNT,53,1)="",),FALSE,TRUE),TRUE)</f>
        <v>1</v>
      </c>
      <c r="K810" s="52" t="str">
        <f t="shared" si="26"/>
        <v>Row 53 - For a ‘Transport unit’ both ‘Location on board’ and ‘Amount’ are required</v>
      </c>
      <c r="L810" s="236" t="s">
        <v>1853</v>
      </c>
    </row>
    <row r="811" spans="7:12">
      <c r="G811" s="250" t="b">
        <f>IF(OR(INDEX(IHZ_HAZ_UNITTYPE,54,1)&lt;&gt;"",),IF(OR(INDEX(IHZ_HAZ_LOCATION,54,1)="",INDEX(IHZ_HAZ_AMOUNT,54,1)="",),FALSE,TRUE),TRUE)</f>
        <v>1</v>
      </c>
      <c r="H811" s="52" t="str">
        <f t="shared" si="25"/>
        <v>Row 54 - For a ‘Transport unit’ both ‘Location on board’ and ‘Amount’ are required</v>
      </c>
      <c r="I811" s="236" t="s">
        <v>1853</v>
      </c>
      <c r="J811" s="52" t="b">
        <f>IF(OR(INDEX(OHZ_HAZ_UNITTYPE,54,1)&lt;&gt;"",),IF(OR(INDEX(OHZ_HAZ_LOCATION,54,1)="",INDEX(OHZ_HAZ_AMOUNT,54,1)="",),FALSE,TRUE),TRUE)</f>
        <v>1</v>
      </c>
      <c r="K811" s="52" t="str">
        <f t="shared" si="26"/>
        <v>Row 54 - For a ‘Transport unit’ both ‘Location on board’ and ‘Amount’ are required</v>
      </c>
      <c r="L811" s="236" t="s">
        <v>1853</v>
      </c>
    </row>
    <row r="812" spans="7:12">
      <c r="G812" s="250" t="b">
        <f>IF(OR(INDEX(IHZ_HAZ_UNITTYPE,55,1)&lt;&gt;"",),IF(OR(INDEX(IHZ_HAZ_LOCATION,55,1)="",INDEX(IHZ_HAZ_AMOUNT,55,1)="",),FALSE,TRUE),TRUE)</f>
        <v>1</v>
      </c>
      <c r="H812" s="52" t="str">
        <f t="shared" si="25"/>
        <v>Row 55 - For a ‘Transport unit’ both ‘Location on board’ and ‘Amount’ are required</v>
      </c>
      <c r="I812" s="236" t="s">
        <v>1853</v>
      </c>
      <c r="J812" s="52" t="b">
        <f>IF(OR(INDEX(OHZ_HAZ_UNITTYPE,55,1)&lt;&gt;"",),IF(OR(INDEX(OHZ_HAZ_LOCATION,55,1)="",INDEX(OHZ_HAZ_AMOUNT,55,1)="",),FALSE,TRUE),TRUE)</f>
        <v>1</v>
      </c>
      <c r="K812" s="52" t="str">
        <f t="shared" si="26"/>
        <v>Row 55 - For a ‘Transport unit’ both ‘Location on board’ and ‘Amount’ are required</v>
      </c>
      <c r="L812" s="236" t="s">
        <v>1853</v>
      </c>
    </row>
    <row r="813" spans="7:12">
      <c r="G813" s="250" t="b">
        <f>IF(OR(INDEX(IHZ_HAZ_UNITTYPE,56,1)&lt;&gt;"",),IF(OR(INDEX(IHZ_HAZ_LOCATION,56,1)="",INDEX(IHZ_HAZ_AMOUNT,56,1)="",),FALSE,TRUE),TRUE)</f>
        <v>1</v>
      </c>
      <c r="H813" s="52" t="str">
        <f t="shared" si="25"/>
        <v>Row 56 - For a ‘Transport unit’ both ‘Location on board’ and ‘Amount’ are required</v>
      </c>
      <c r="I813" s="236" t="s">
        <v>1853</v>
      </c>
      <c r="J813" s="52" t="b">
        <f>IF(OR(INDEX(OHZ_HAZ_UNITTYPE,56,1)&lt;&gt;"",),IF(OR(INDEX(OHZ_HAZ_LOCATION,56,1)="",INDEX(OHZ_HAZ_AMOUNT,56,1)="",),FALSE,TRUE),TRUE)</f>
        <v>1</v>
      </c>
      <c r="K813" s="52" t="str">
        <f t="shared" si="26"/>
        <v>Row 56 - For a ‘Transport unit’ both ‘Location on board’ and ‘Amount’ are required</v>
      </c>
      <c r="L813" s="236" t="s">
        <v>1853</v>
      </c>
    </row>
    <row r="814" spans="7:12">
      <c r="G814" s="250" t="b">
        <f>IF(OR(INDEX(IHZ_HAZ_UNITTYPE,57,1)&lt;&gt;"",),IF(OR(INDEX(IHZ_HAZ_LOCATION,57,1)="",INDEX(IHZ_HAZ_AMOUNT,57,1)="",),FALSE,TRUE),TRUE)</f>
        <v>1</v>
      </c>
      <c r="H814" s="52" t="str">
        <f t="shared" si="25"/>
        <v>Row 57 - For a ‘Transport unit’ both ‘Location on board’ and ‘Amount’ are required</v>
      </c>
      <c r="I814" s="236" t="s">
        <v>1853</v>
      </c>
      <c r="J814" s="52" t="b">
        <f>IF(OR(INDEX(OHZ_HAZ_UNITTYPE,57,1)&lt;&gt;"",),IF(OR(INDEX(OHZ_HAZ_LOCATION,57,1)="",INDEX(OHZ_HAZ_AMOUNT,57,1)="",),FALSE,TRUE),TRUE)</f>
        <v>1</v>
      </c>
      <c r="K814" s="52" t="str">
        <f t="shared" si="26"/>
        <v>Row 57 - For a ‘Transport unit’ both ‘Location on board’ and ‘Amount’ are required</v>
      </c>
      <c r="L814" s="236" t="s">
        <v>1853</v>
      </c>
    </row>
    <row r="815" spans="7:12">
      <c r="G815" s="250" t="b">
        <f>IF(OR(INDEX(IHZ_HAZ_UNITTYPE,58,1)&lt;&gt;"",),IF(OR(INDEX(IHZ_HAZ_LOCATION,58,1)="",INDEX(IHZ_HAZ_AMOUNT,58,1)="",),FALSE,TRUE),TRUE)</f>
        <v>1</v>
      </c>
      <c r="H815" s="52" t="str">
        <f t="shared" si="25"/>
        <v>Row 58 - For a ‘Transport unit’ both ‘Location on board’ and ‘Amount’ are required</v>
      </c>
      <c r="I815" s="236" t="s">
        <v>1853</v>
      </c>
      <c r="J815" s="52" t="b">
        <f>IF(OR(INDEX(OHZ_HAZ_UNITTYPE,58,1)&lt;&gt;"",),IF(OR(INDEX(OHZ_HAZ_LOCATION,58,1)="",INDEX(OHZ_HAZ_AMOUNT,58,1)="",),FALSE,TRUE),TRUE)</f>
        <v>1</v>
      </c>
      <c r="K815" s="52" t="str">
        <f t="shared" si="26"/>
        <v>Row 58 - For a ‘Transport unit’ both ‘Location on board’ and ‘Amount’ are required</v>
      </c>
      <c r="L815" s="236" t="s">
        <v>1853</v>
      </c>
    </row>
    <row r="816" spans="7:12">
      <c r="G816" s="250" t="b">
        <f>IF(OR(INDEX(IHZ_HAZ_UNITTYPE,59,1)&lt;&gt;"",),IF(OR(INDEX(IHZ_HAZ_LOCATION,59,1)="",INDEX(IHZ_HAZ_AMOUNT,59,1)="",),FALSE,TRUE),TRUE)</f>
        <v>1</v>
      </c>
      <c r="H816" s="52" t="str">
        <f t="shared" si="25"/>
        <v>Row 59 - For a ‘Transport unit’ both ‘Location on board’ and ‘Amount’ are required</v>
      </c>
      <c r="I816" s="236" t="s">
        <v>1853</v>
      </c>
      <c r="J816" s="52" t="b">
        <f>IF(OR(INDEX(OHZ_HAZ_UNITTYPE,59,1)&lt;&gt;"",),IF(OR(INDEX(OHZ_HAZ_LOCATION,59,1)="",INDEX(OHZ_HAZ_AMOUNT,59,1)="",),FALSE,TRUE),TRUE)</f>
        <v>1</v>
      </c>
      <c r="K816" s="52" t="str">
        <f t="shared" si="26"/>
        <v>Row 59 - For a ‘Transport unit’ both ‘Location on board’ and ‘Amount’ are required</v>
      </c>
      <c r="L816" s="236" t="s">
        <v>1853</v>
      </c>
    </row>
    <row r="817" spans="7:12">
      <c r="G817" s="250" t="b">
        <f>IF(OR(INDEX(IHZ_HAZ_UNITTYPE,60,1)&lt;&gt;"",),IF(OR(INDEX(IHZ_HAZ_LOCATION,60,1)="",INDEX(IHZ_HAZ_AMOUNT,60,1)="",),FALSE,TRUE),TRUE)</f>
        <v>1</v>
      </c>
      <c r="H817" s="52" t="str">
        <f t="shared" si="25"/>
        <v>Row 60 - For a ‘Transport unit’ both ‘Location on board’ and ‘Amount’ are required</v>
      </c>
      <c r="I817" s="236" t="s">
        <v>1853</v>
      </c>
      <c r="J817" s="52" t="b">
        <f>IF(OR(INDEX(OHZ_HAZ_UNITTYPE,60,1)&lt;&gt;"",),IF(OR(INDEX(OHZ_HAZ_LOCATION,60,1)="",INDEX(OHZ_HAZ_AMOUNT,60,1)="",),FALSE,TRUE),TRUE)</f>
        <v>1</v>
      </c>
      <c r="K817" s="52" t="str">
        <f t="shared" si="26"/>
        <v>Row 60 - For a ‘Transport unit’ both ‘Location on board’ and ‘Amount’ are required</v>
      </c>
      <c r="L817" s="236" t="s">
        <v>1853</v>
      </c>
    </row>
    <row r="818" spans="7:12">
      <c r="G818" s="250" t="b">
        <f>IF(OR(INDEX(IHZ_HAZ_UNITTYPE,61,1)&lt;&gt;"",),IF(OR(INDEX(IHZ_HAZ_LOCATION,61,1)="",INDEX(IHZ_HAZ_AMOUNT,61,1)="",),FALSE,TRUE),TRUE)</f>
        <v>1</v>
      </c>
      <c r="H818" s="52" t="str">
        <f t="shared" si="25"/>
        <v>Row 61 - For a ‘Transport unit’ both ‘Location on board’ and ‘Amount’ are required</v>
      </c>
      <c r="I818" s="236" t="s">
        <v>1853</v>
      </c>
      <c r="J818" s="52" t="b">
        <f>IF(OR(INDEX(OHZ_HAZ_UNITTYPE,61,1)&lt;&gt;"",),IF(OR(INDEX(OHZ_HAZ_LOCATION,61,1)="",INDEX(OHZ_HAZ_AMOUNT,61,1)="",),FALSE,TRUE),TRUE)</f>
        <v>1</v>
      </c>
      <c r="K818" s="52" t="str">
        <f t="shared" si="26"/>
        <v>Row 61 - For a ‘Transport unit’ both ‘Location on board’ and ‘Amount’ are required</v>
      </c>
      <c r="L818" s="236" t="s">
        <v>1853</v>
      </c>
    </row>
    <row r="819" spans="7:12">
      <c r="G819" s="250" t="b">
        <f>IF(OR(INDEX(IHZ_HAZ_UNITTYPE,62,1)&lt;&gt;"",),IF(OR(INDEX(IHZ_HAZ_LOCATION,62,1)="",INDEX(IHZ_HAZ_AMOUNT,62,1)="",),FALSE,TRUE),TRUE)</f>
        <v>1</v>
      </c>
      <c r="H819" s="52" t="str">
        <f t="shared" si="25"/>
        <v>Row 62 - For a ‘Transport unit’ both ‘Location on board’ and ‘Amount’ are required</v>
      </c>
      <c r="I819" s="236" t="s">
        <v>1853</v>
      </c>
      <c r="J819" s="52" t="b">
        <f>IF(OR(INDEX(OHZ_HAZ_UNITTYPE,62,1)&lt;&gt;"",),IF(OR(INDEX(OHZ_HAZ_LOCATION,62,1)="",INDEX(OHZ_HAZ_AMOUNT,62,1)="",),FALSE,TRUE),TRUE)</f>
        <v>1</v>
      </c>
      <c r="K819" s="52" t="str">
        <f t="shared" si="26"/>
        <v>Row 62 - For a ‘Transport unit’ both ‘Location on board’ and ‘Amount’ are required</v>
      </c>
      <c r="L819" s="236" t="s">
        <v>1853</v>
      </c>
    </row>
    <row r="820" spans="7:12">
      <c r="G820" s="250" t="b">
        <f>IF(OR(INDEX(IHZ_HAZ_UNITTYPE,63,1)&lt;&gt;"",),IF(OR(INDEX(IHZ_HAZ_LOCATION,63,1)="",INDEX(IHZ_HAZ_AMOUNT,63,1)="",),FALSE,TRUE),TRUE)</f>
        <v>1</v>
      </c>
      <c r="H820" s="52" t="str">
        <f t="shared" si="25"/>
        <v>Row 63 - For a ‘Transport unit’ both ‘Location on board’ and ‘Amount’ are required</v>
      </c>
      <c r="I820" s="236" t="s">
        <v>1853</v>
      </c>
      <c r="J820" s="52" t="b">
        <f>IF(OR(INDEX(OHZ_HAZ_UNITTYPE,63,1)&lt;&gt;"",),IF(OR(INDEX(OHZ_HAZ_LOCATION,63,1)="",INDEX(OHZ_HAZ_AMOUNT,63,1)="",),FALSE,TRUE),TRUE)</f>
        <v>1</v>
      </c>
      <c r="K820" s="52" t="str">
        <f t="shared" si="26"/>
        <v>Row 63 - For a ‘Transport unit’ both ‘Location on board’ and ‘Amount’ are required</v>
      </c>
      <c r="L820" s="236" t="s">
        <v>1853</v>
      </c>
    </row>
    <row r="821" spans="7:12">
      <c r="G821" s="250" t="b">
        <f>IF(OR(INDEX(IHZ_HAZ_UNITTYPE,64,1)&lt;&gt;"",),IF(OR(INDEX(IHZ_HAZ_LOCATION,64,1)="",INDEX(IHZ_HAZ_AMOUNT,64,1)="",),FALSE,TRUE),TRUE)</f>
        <v>1</v>
      </c>
      <c r="H821" s="52" t="str">
        <f t="shared" si="25"/>
        <v>Row 64 - For a ‘Transport unit’ both ‘Location on board’ and ‘Amount’ are required</v>
      </c>
      <c r="I821" s="236" t="s">
        <v>1853</v>
      </c>
      <c r="J821" s="52" t="b">
        <f>IF(OR(INDEX(OHZ_HAZ_UNITTYPE,64,1)&lt;&gt;"",),IF(OR(INDEX(OHZ_HAZ_LOCATION,64,1)="",INDEX(OHZ_HAZ_AMOUNT,64,1)="",),FALSE,TRUE),TRUE)</f>
        <v>1</v>
      </c>
      <c r="K821" s="52" t="str">
        <f t="shared" si="26"/>
        <v>Row 64 - For a ‘Transport unit’ both ‘Location on board’ and ‘Amount’ are required</v>
      </c>
      <c r="L821" s="236" t="s">
        <v>1853</v>
      </c>
    </row>
    <row r="822" spans="7:12">
      <c r="G822" s="250" t="b">
        <f>IF(OR(INDEX(IHZ_HAZ_UNITTYPE,65,1)&lt;&gt;"",),IF(OR(INDEX(IHZ_HAZ_LOCATION,65,1)="",INDEX(IHZ_HAZ_AMOUNT,65,1)="",),FALSE,TRUE),TRUE)</f>
        <v>1</v>
      </c>
      <c r="H822" s="52" t="str">
        <f t="shared" si="25"/>
        <v>Row 65 - For a ‘Transport unit’ both ‘Location on board’ and ‘Amount’ are required</v>
      </c>
      <c r="I822" s="236" t="s">
        <v>1853</v>
      </c>
      <c r="J822" s="52" t="b">
        <f>IF(OR(INDEX(OHZ_HAZ_UNITTYPE,65,1)&lt;&gt;"",),IF(OR(INDEX(OHZ_HAZ_LOCATION,65,1)="",INDEX(OHZ_HAZ_AMOUNT,65,1)="",),FALSE,TRUE),TRUE)</f>
        <v>1</v>
      </c>
      <c r="K822" s="52" t="str">
        <f t="shared" si="26"/>
        <v>Row 65 - For a ‘Transport unit’ both ‘Location on board’ and ‘Amount’ are required</v>
      </c>
      <c r="L822" s="236" t="s">
        <v>1853</v>
      </c>
    </row>
    <row r="823" spans="7:12">
      <c r="G823" s="250" t="b">
        <f>IF(OR(INDEX(IHZ_HAZ_UNITTYPE,66,1)&lt;&gt;"",),IF(OR(INDEX(IHZ_HAZ_LOCATION,66,1)="",INDEX(IHZ_HAZ_AMOUNT,66,1)="",),FALSE,TRUE),TRUE)</f>
        <v>1</v>
      </c>
      <c r="H823" s="52" t="str">
        <f t="shared" ref="H823:H886" si="27">T66&amp;$V$4</f>
        <v>Row 66 - For a ‘Transport unit’ both ‘Location on board’ and ‘Amount’ are required</v>
      </c>
      <c r="I823" s="236" t="s">
        <v>1853</v>
      </c>
      <c r="J823" s="52" t="b">
        <f>IF(OR(INDEX(OHZ_HAZ_UNITTYPE,66,1)&lt;&gt;"",),IF(OR(INDEX(OHZ_HAZ_LOCATION,66,1)="",INDEX(OHZ_HAZ_AMOUNT,66,1)="",),FALSE,TRUE),TRUE)</f>
        <v>1</v>
      </c>
      <c r="K823" s="52" t="str">
        <f t="shared" ref="K823:K886" si="28">T66&amp;$V$4</f>
        <v>Row 66 - For a ‘Transport unit’ both ‘Location on board’ and ‘Amount’ are required</v>
      </c>
      <c r="L823" s="236" t="s">
        <v>1853</v>
      </c>
    </row>
    <row r="824" spans="7:12">
      <c r="G824" s="250" t="b">
        <f>IF(OR(INDEX(IHZ_HAZ_UNITTYPE,67,1)&lt;&gt;"",),IF(OR(INDEX(IHZ_HAZ_LOCATION,67,1)="",INDEX(IHZ_HAZ_AMOUNT,67,1)="",),FALSE,TRUE),TRUE)</f>
        <v>1</v>
      </c>
      <c r="H824" s="52" t="str">
        <f t="shared" si="27"/>
        <v>Row 67 - For a ‘Transport unit’ both ‘Location on board’ and ‘Amount’ are required</v>
      </c>
      <c r="I824" s="236" t="s">
        <v>1853</v>
      </c>
      <c r="J824" s="52" t="b">
        <f>IF(OR(INDEX(OHZ_HAZ_UNITTYPE,67,1)&lt;&gt;"",),IF(OR(INDEX(OHZ_HAZ_LOCATION,67,1)="",INDEX(OHZ_HAZ_AMOUNT,67,1)="",),FALSE,TRUE),TRUE)</f>
        <v>1</v>
      </c>
      <c r="K824" s="52" t="str">
        <f t="shared" si="28"/>
        <v>Row 67 - For a ‘Transport unit’ both ‘Location on board’ and ‘Amount’ are required</v>
      </c>
      <c r="L824" s="236" t="s">
        <v>1853</v>
      </c>
    </row>
    <row r="825" spans="7:12">
      <c r="G825" s="250" t="b">
        <f>IF(OR(INDEX(IHZ_HAZ_UNITTYPE,68,1)&lt;&gt;"",),IF(OR(INDEX(IHZ_HAZ_LOCATION,68,1)="",INDEX(IHZ_HAZ_AMOUNT,68,1)="",),FALSE,TRUE),TRUE)</f>
        <v>1</v>
      </c>
      <c r="H825" s="52" t="str">
        <f t="shared" si="27"/>
        <v>Row 68 - For a ‘Transport unit’ both ‘Location on board’ and ‘Amount’ are required</v>
      </c>
      <c r="I825" s="236" t="s">
        <v>1853</v>
      </c>
      <c r="J825" s="52" t="b">
        <f>IF(OR(INDEX(OHZ_HAZ_UNITTYPE,68,1)&lt;&gt;"",),IF(OR(INDEX(OHZ_HAZ_LOCATION,68,1)="",INDEX(OHZ_HAZ_AMOUNT,68,1)="",),FALSE,TRUE),TRUE)</f>
        <v>1</v>
      </c>
      <c r="K825" s="52" t="str">
        <f t="shared" si="28"/>
        <v>Row 68 - For a ‘Transport unit’ both ‘Location on board’ and ‘Amount’ are required</v>
      </c>
      <c r="L825" s="236" t="s">
        <v>1853</v>
      </c>
    </row>
    <row r="826" spans="7:12">
      <c r="G826" s="250" t="b">
        <f>IF(OR(INDEX(IHZ_HAZ_UNITTYPE,69,1)&lt;&gt;"",),IF(OR(INDEX(IHZ_HAZ_LOCATION,69,1)="",INDEX(IHZ_HAZ_AMOUNT,69,1)="",),FALSE,TRUE),TRUE)</f>
        <v>1</v>
      </c>
      <c r="H826" s="52" t="str">
        <f t="shared" si="27"/>
        <v>Row 69 - For a ‘Transport unit’ both ‘Location on board’ and ‘Amount’ are required</v>
      </c>
      <c r="I826" s="236" t="s">
        <v>1853</v>
      </c>
      <c r="J826" s="52" t="b">
        <f>IF(OR(INDEX(OHZ_HAZ_UNITTYPE,69,1)&lt;&gt;"",),IF(OR(INDEX(OHZ_HAZ_LOCATION,69,1)="",INDEX(OHZ_HAZ_AMOUNT,69,1)="",),FALSE,TRUE),TRUE)</f>
        <v>1</v>
      </c>
      <c r="K826" s="52" t="str">
        <f t="shared" si="28"/>
        <v>Row 69 - For a ‘Transport unit’ both ‘Location on board’ and ‘Amount’ are required</v>
      </c>
      <c r="L826" s="236" t="s">
        <v>1853</v>
      </c>
    </row>
    <row r="827" spans="7:12">
      <c r="G827" s="250" t="b">
        <f>IF(OR(INDEX(IHZ_HAZ_UNITTYPE,70,1)&lt;&gt;"",),IF(OR(INDEX(IHZ_HAZ_LOCATION,70,1)="",INDEX(IHZ_HAZ_AMOUNT,70,1)="",),FALSE,TRUE),TRUE)</f>
        <v>1</v>
      </c>
      <c r="H827" s="52" t="str">
        <f t="shared" si="27"/>
        <v>Row 70 - For a ‘Transport unit’ both ‘Location on board’ and ‘Amount’ are required</v>
      </c>
      <c r="I827" s="236" t="s">
        <v>1853</v>
      </c>
      <c r="J827" s="52" t="b">
        <f>IF(OR(INDEX(OHZ_HAZ_UNITTYPE,70,1)&lt;&gt;"",),IF(OR(INDEX(OHZ_HAZ_LOCATION,70,1)="",INDEX(OHZ_HAZ_AMOUNT,70,1)="",),FALSE,TRUE),TRUE)</f>
        <v>1</v>
      </c>
      <c r="K827" s="52" t="str">
        <f t="shared" si="28"/>
        <v>Row 70 - For a ‘Transport unit’ both ‘Location on board’ and ‘Amount’ are required</v>
      </c>
      <c r="L827" s="236" t="s">
        <v>1853</v>
      </c>
    </row>
    <row r="828" spans="7:12">
      <c r="G828" s="250" t="b">
        <f>IF(OR(INDEX(IHZ_HAZ_UNITTYPE,71,1)&lt;&gt;"",),IF(OR(INDEX(IHZ_HAZ_LOCATION,71,1)="",INDEX(IHZ_HAZ_AMOUNT,71,1)="",),FALSE,TRUE),TRUE)</f>
        <v>1</v>
      </c>
      <c r="H828" s="52" t="str">
        <f t="shared" si="27"/>
        <v>Row 71 - For a ‘Transport unit’ both ‘Location on board’ and ‘Amount’ are required</v>
      </c>
      <c r="I828" s="236" t="s">
        <v>1853</v>
      </c>
      <c r="J828" s="52" t="b">
        <f>IF(OR(INDEX(OHZ_HAZ_UNITTYPE,71,1)&lt;&gt;"",),IF(OR(INDEX(OHZ_HAZ_LOCATION,71,1)="",INDEX(OHZ_HAZ_AMOUNT,71,1)="",),FALSE,TRUE),TRUE)</f>
        <v>1</v>
      </c>
      <c r="K828" s="52" t="str">
        <f t="shared" si="28"/>
        <v>Row 71 - For a ‘Transport unit’ both ‘Location on board’ and ‘Amount’ are required</v>
      </c>
      <c r="L828" s="236" t="s">
        <v>1853</v>
      </c>
    </row>
    <row r="829" spans="7:12">
      <c r="G829" s="250" t="b">
        <f>IF(OR(INDEX(IHZ_HAZ_UNITTYPE,72,1)&lt;&gt;"",),IF(OR(INDEX(IHZ_HAZ_LOCATION,72,1)="",INDEX(IHZ_HAZ_AMOUNT,72,1)="",),FALSE,TRUE),TRUE)</f>
        <v>1</v>
      </c>
      <c r="H829" s="52" t="str">
        <f t="shared" si="27"/>
        <v>Row 72 - For a ‘Transport unit’ both ‘Location on board’ and ‘Amount’ are required</v>
      </c>
      <c r="I829" s="236" t="s">
        <v>1853</v>
      </c>
      <c r="J829" s="52" t="b">
        <f>IF(OR(INDEX(OHZ_HAZ_UNITTYPE,72,1)&lt;&gt;"",),IF(OR(INDEX(OHZ_HAZ_LOCATION,72,1)="",INDEX(OHZ_HAZ_AMOUNT,72,1)="",),FALSE,TRUE),TRUE)</f>
        <v>1</v>
      </c>
      <c r="K829" s="52" t="str">
        <f t="shared" si="28"/>
        <v>Row 72 - For a ‘Transport unit’ both ‘Location on board’ and ‘Amount’ are required</v>
      </c>
      <c r="L829" s="236" t="s">
        <v>1853</v>
      </c>
    </row>
    <row r="830" spans="7:12">
      <c r="G830" s="250" t="b">
        <f>IF(OR(INDEX(IHZ_HAZ_UNITTYPE,73,1)&lt;&gt;"",),IF(OR(INDEX(IHZ_HAZ_LOCATION,73,1)="",INDEX(IHZ_HAZ_AMOUNT,73,1)="",),FALSE,TRUE),TRUE)</f>
        <v>1</v>
      </c>
      <c r="H830" s="52" t="str">
        <f t="shared" si="27"/>
        <v>Row 73 - For a ‘Transport unit’ both ‘Location on board’ and ‘Amount’ are required</v>
      </c>
      <c r="I830" s="236" t="s">
        <v>1853</v>
      </c>
      <c r="J830" s="52" t="b">
        <f>IF(OR(INDEX(OHZ_HAZ_UNITTYPE,73,1)&lt;&gt;"",),IF(OR(INDEX(OHZ_HAZ_LOCATION,73,1)="",INDEX(OHZ_HAZ_AMOUNT,73,1)="",),FALSE,TRUE),TRUE)</f>
        <v>1</v>
      </c>
      <c r="K830" s="52" t="str">
        <f t="shared" si="28"/>
        <v>Row 73 - For a ‘Transport unit’ both ‘Location on board’ and ‘Amount’ are required</v>
      </c>
      <c r="L830" s="236" t="s">
        <v>1853</v>
      </c>
    </row>
    <row r="831" spans="7:12">
      <c r="G831" s="250" t="b">
        <f>IF(OR(INDEX(IHZ_HAZ_UNITTYPE,74,1)&lt;&gt;"",),IF(OR(INDEX(IHZ_HAZ_LOCATION,74,1)="",INDEX(IHZ_HAZ_AMOUNT,74,1)="",),FALSE,TRUE),TRUE)</f>
        <v>1</v>
      </c>
      <c r="H831" s="52" t="str">
        <f t="shared" si="27"/>
        <v>Row 74 - For a ‘Transport unit’ both ‘Location on board’ and ‘Amount’ are required</v>
      </c>
      <c r="I831" s="236" t="s">
        <v>1853</v>
      </c>
      <c r="J831" s="52" t="b">
        <f>IF(OR(INDEX(OHZ_HAZ_UNITTYPE,74,1)&lt;&gt;"",),IF(OR(INDEX(OHZ_HAZ_LOCATION,74,1)="",INDEX(OHZ_HAZ_AMOUNT,74,1)="",),FALSE,TRUE),TRUE)</f>
        <v>1</v>
      </c>
      <c r="K831" s="52" t="str">
        <f t="shared" si="28"/>
        <v>Row 74 - For a ‘Transport unit’ both ‘Location on board’ and ‘Amount’ are required</v>
      </c>
      <c r="L831" s="236" t="s">
        <v>1853</v>
      </c>
    </row>
    <row r="832" spans="7:12">
      <c r="G832" s="250" t="b">
        <f>IF(OR(INDEX(IHZ_HAZ_UNITTYPE,75,1)&lt;&gt;"",),IF(OR(INDEX(IHZ_HAZ_LOCATION,75,1)="",INDEX(IHZ_HAZ_AMOUNT,75,1)="",),FALSE,TRUE),TRUE)</f>
        <v>1</v>
      </c>
      <c r="H832" s="52" t="str">
        <f t="shared" si="27"/>
        <v>Row 75 - For a ‘Transport unit’ both ‘Location on board’ and ‘Amount’ are required</v>
      </c>
      <c r="I832" s="236" t="s">
        <v>1853</v>
      </c>
      <c r="J832" s="52" t="b">
        <f>IF(OR(INDEX(OHZ_HAZ_UNITTYPE,75,1)&lt;&gt;"",),IF(OR(INDEX(OHZ_HAZ_LOCATION,75,1)="",INDEX(OHZ_HAZ_AMOUNT,75,1)="",),FALSE,TRUE),TRUE)</f>
        <v>1</v>
      </c>
      <c r="K832" s="52" t="str">
        <f t="shared" si="28"/>
        <v>Row 75 - For a ‘Transport unit’ both ‘Location on board’ and ‘Amount’ are required</v>
      </c>
      <c r="L832" s="236" t="s">
        <v>1853</v>
      </c>
    </row>
    <row r="833" spans="7:12">
      <c r="G833" s="250" t="b">
        <f>IF(OR(INDEX(IHZ_HAZ_UNITTYPE,76,1)&lt;&gt;"",),IF(OR(INDEX(IHZ_HAZ_LOCATION,76,1)="",INDEX(IHZ_HAZ_AMOUNT,76,1)="",),FALSE,TRUE),TRUE)</f>
        <v>1</v>
      </c>
      <c r="H833" s="52" t="str">
        <f t="shared" si="27"/>
        <v>Row 76 - For a ‘Transport unit’ both ‘Location on board’ and ‘Amount’ are required</v>
      </c>
      <c r="I833" s="236" t="s">
        <v>1853</v>
      </c>
      <c r="J833" s="52" t="b">
        <f>IF(OR(INDEX(OHZ_HAZ_UNITTYPE,76,1)&lt;&gt;"",),IF(OR(INDEX(OHZ_HAZ_LOCATION,76,1)="",INDEX(OHZ_HAZ_AMOUNT,76,1)="",),FALSE,TRUE),TRUE)</f>
        <v>1</v>
      </c>
      <c r="K833" s="52" t="str">
        <f t="shared" si="28"/>
        <v>Row 76 - For a ‘Transport unit’ both ‘Location on board’ and ‘Amount’ are required</v>
      </c>
      <c r="L833" s="236" t="s">
        <v>1853</v>
      </c>
    </row>
    <row r="834" spans="7:12">
      <c r="G834" s="250" t="b">
        <f>IF(OR(INDEX(IHZ_HAZ_UNITTYPE,77,1)&lt;&gt;"",),IF(OR(INDEX(IHZ_HAZ_LOCATION,77,1)="",INDEX(IHZ_HAZ_AMOUNT,77,1)="",),FALSE,TRUE),TRUE)</f>
        <v>1</v>
      </c>
      <c r="H834" s="52" t="str">
        <f t="shared" si="27"/>
        <v>Row 77 - For a ‘Transport unit’ both ‘Location on board’ and ‘Amount’ are required</v>
      </c>
      <c r="I834" s="236" t="s">
        <v>1853</v>
      </c>
      <c r="J834" s="52" t="b">
        <f>IF(OR(INDEX(OHZ_HAZ_UNITTYPE,77,1)&lt;&gt;"",),IF(OR(INDEX(OHZ_HAZ_LOCATION,77,1)="",INDEX(OHZ_HAZ_AMOUNT,77,1)="",),FALSE,TRUE),TRUE)</f>
        <v>1</v>
      </c>
      <c r="K834" s="52" t="str">
        <f t="shared" si="28"/>
        <v>Row 77 - For a ‘Transport unit’ both ‘Location on board’ and ‘Amount’ are required</v>
      </c>
      <c r="L834" s="236" t="s">
        <v>1853</v>
      </c>
    </row>
    <row r="835" spans="7:12">
      <c r="G835" s="250" t="b">
        <f>IF(OR(INDEX(IHZ_HAZ_UNITTYPE,78,1)&lt;&gt;"",),IF(OR(INDEX(IHZ_HAZ_LOCATION,78,1)="",INDEX(IHZ_HAZ_AMOUNT,78,1)="",),FALSE,TRUE),TRUE)</f>
        <v>1</v>
      </c>
      <c r="H835" s="52" t="str">
        <f t="shared" si="27"/>
        <v>Row 78 - For a ‘Transport unit’ both ‘Location on board’ and ‘Amount’ are required</v>
      </c>
      <c r="I835" s="236" t="s">
        <v>1853</v>
      </c>
      <c r="J835" s="52" t="b">
        <f>IF(OR(INDEX(OHZ_HAZ_UNITTYPE,78,1)&lt;&gt;"",),IF(OR(INDEX(OHZ_HAZ_LOCATION,78,1)="",INDEX(OHZ_HAZ_AMOUNT,78,1)="",),FALSE,TRUE),TRUE)</f>
        <v>1</v>
      </c>
      <c r="K835" s="52" t="str">
        <f t="shared" si="28"/>
        <v>Row 78 - For a ‘Transport unit’ both ‘Location on board’ and ‘Amount’ are required</v>
      </c>
      <c r="L835" s="236" t="s">
        <v>1853</v>
      </c>
    </row>
    <row r="836" spans="7:12">
      <c r="G836" s="250" t="b">
        <f>IF(OR(INDEX(IHZ_HAZ_UNITTYPE,79,1)&lt;&gt;"",),IF(OR(INDEX(IHZ_HAZ_LOCATION,79,1)="",INDEX(IHZ_HAZ_AMOUNT,79,1)="",),FALSE,TRUE),TRUE)</f>
        <v>1</v>
      </c>
      <c r="H836" s="52" t="str">
        <f t="shared" si="27"/>
        <v>Row 79 - For a ‘Transport unit’ both ‘Location on board’ and ‘Amount’ are required</v>
      </c>
      <c r="I836" s="236" t="s">
        <v>1853</v>
      </c>
      <c r="J836" s="52" t="b">
        <f>IF(OR(INDEX(OHZ_HAZ_UNITTYPE,79,1)&lt;&gt;"",),IF(OR(INDEX(OHZ_HAZ_LOCATION,79,1)="",INDEX(OHZ_HAZ_AMOUNT,79,1)="",),FALSE,TRUE),TRUE)</f>
        <v>1</v>
      </c>
      <c r="K836" s="52" t="str">
        <f t="shared" si="28"/>
        <v>Row 79 - For a ‘Transport unit’ both ‘Location on board’ and ‘Amount’ are required</v>
      </c>
      <c r="L836" s="236" t="s">
        <v>1853</v>
      </c>
    </row>
    <row r="837" spans="7:12">
      <c r="G837" s="250" t="b">
        <f>IF(OR(INDEX(IHZ_HAZ_UNITTYPE,80,1)&lt;&gt;"",),IF(OR(INDEX(IHZ_HAZ_LOCATION,80,1)="",INDEX(IHZ_HAZ_AMOUNT,80,1)="",),FALSE,TRUE),TRUE)</f>
        <v>1</v>
      </c>
      <c r="H837" s="52" t="str">
        <f t="shared" si="27"/>
        <v>Row 80 - For a ‘Transport unit’ both ‘Location on board’ and ‘Amount’ are required</v>
      </c>
      <c r="I837" s="236" t="s">
        <v>1853</v>
      </c>
      <c r="J837" s="52" t="b">
        <f>IF(OR(INDEX(OHZ_HAZ_UNITTYPE,80,1)&lt;&gt;"",),IF(OR(INDEX(OHZ_HAZ_LOCATION,80,1)="",INDEX(OHZ_HAZ_AMOUNT,80,1)="",),FALSE,TRUE),TRUE)</f>
        <v>1</v>
      </c>
      <c r="K837" s="52" t="str">
        <f t="shared" si="28"/>
        <v>Row 80 - For a ‘Transport unit’ both ‘Location on board’ and ‘Amount’ are required</v>
      </c>
      <c r="L837" s="236" t="s">
        <v>1853</v>
      </c>
    </row>
    <row r="838" spans="7:12">
      <c r="G838" s="250" t="b">
        <f>IF(OR(INDEX(IHZ_HAZ_UNITTYPE,81,1)&lt;&gt;"",),IF(OR(INDEX(IHZ_HAZ_LOCATION,81,1)="",INDEX(IHZ_HAZ_AMOUNT,81,1)="",),FALSE,TRUE),TRUE)</f>
        <v>1</v>
      </c>
      <c r="H838" s="52" t="str">
        <f t="shared" si="27"/>
        <v>Row 81 - For a ‘Transport unit’ both ‘Location on board’ and ‘Amount’ are required</v>
      </c>
      <c r="I838" s="236" t="s">
        <v>1853</v>
      </c>
      <c r="J838" s="52" t="b">
        <f>IF(OR(INDEX(OHZ_HAZ_UNITTYPE,81,1)&lt;&gt;"",),IF(OR(INDEX(OHZ_HAZ_LOCATION,81,1)="",INDEX(OHZ_HAZ_AMOUNT,81,1)="",),FALSE,TRUE),TRUE)</f>
        <v>1</v>
      </c>
      <c r="K838" s="52" t="str">
        <f t="shared" si="28"/>
        <v>Row 81 - For a ‘Transport unit’ both ‘Location on board’ and ‘Amount’ are required</v>
      </c>
      <c r="L838" s="236" t="s">
        <v>1853</v>
      </c>
    </row>
    <row r="839" spans="7:12">
      <c r="G839" s="250" t="b">
        <f>IF(OR(INDEX(IHZ_HAZ_UNITTYPE,82,1)&lt;&gt;"",),IF(OR(INDEX(IHZ_HAZ_LOCATION,82,1)="",INDEX(IHZ_HAZ_AMOUNT,82,1)="",),FALSE,TRUE),TRUE)</f>
        <v>1</v>
      </c>
      <c r="H839" s="52" t="str">
        <f t="shared" si="27"/>
        <v>Row 82 - For a ‘Transport unit’ both ‘Location on board’ and ‘Amount’ are required</v>
      </c>
      <c r="I839" s="236" t="s">
        <v>1853</v>
      </c>
      <c r="J839" s="52" t="b">
        <f>IF(OR(INDEX(OHZ_HAZ_UNITTYPE,82,1)&lt;&gt;"",),IF(OR(INDEX(OHZ_HAZ_LOCATION,82,1)="",INDEX(OHZ_HAZ_AMOUNT,82,1)="",),FALSE,TRUE),TRUE)</f>
        <v>1</v>
      </c>
      <c r="K839" s="52" t="str">
        <f t="shared" si="28"/>
        <v>Row 82 - For a ‘Transport unit’ both ‘Location on board’ and ‘Amount’ are required</v>
      </c>
      <c r="L839" s="236" t="s">
        <v>1853</v>
      </c>
    </row>
    <row r="840" spans="7:12">
      <c r="G840" s="250" t="b">
        <f>IF(OR(INDEX(IHZ_HAZ_UNITTYPE,83,1)&lt;&gt;"",),IF(OR(INDEX(IHZ_HAZ_LOCATION,83,1)="",INDEX(IHZ_HAZ_AMOUNT,83,1)="",),FALSE,TRUE),TRUE)</f>
        <v>1</v>
      </c>
      <c r="H840" s="52" t="str">
        <f t="shared" si="27"/>
        <v>Row 83 - For a ‘Transport unit’ both ‘Location on board’ and ‘Amount’ are required</v>
      </c>
      <c r="I840" s="236" t="s">
        <v>1853</v>
      </c>
      <c r="J840" s="52" t="b">
        <f>IF(OR(INDEX(OHZ_HAZ_UNITTYPE,83,1)&lt;&gt;"",),IF(OR(INDEX(OHZ_HAZ_LOCATION,83,1)="",INDEX(OHZ_HAZ_AMOUNT,83,1)="",),FALSE,TRUE),TRUE)</f>
        <v>1</v>
      </c>
      <c r="K840" s="52" t="str">
        <f t="shared" si="28"/>
        <v>Row 83 - For a ‘Transport unit’ both ‘Location on board’ and ‘Amount’ are required</v>
      </c>
      <c r="L840" s="236" t="s">
        <v>1853</v>
      </c>
    </row>
    <row r="841" spans="7:12">
      <c r="G841" s="250" t="b">
        <f>IF(OR(INDEX(IHZ_HAZ_UNITTYPE,84,1)&lt;&gt;"",),IF(OR(INDEX(IHZ_HAZ_LOCATION,84,1)="",INDEX(IHZ_HAZ_AMOUNT,84,1)="",),FALSE,TRUE),TRUE)</f>
        <v>1</v>
      </c>
      <c r="H841" s="52" t="str">
        <f t="shared" si="27"/>
        <v>Row 84 - For a ‘Transport unit’ both ‘Location on board’ and ‘Amount’ are required</v>
      </c>
      <c r="I841" s="236" t="s">
        <v>1853</v>
      </c>
      <c r="J841" s="52" t="b">
        <f>IF(OR(INDEX(OHZ_HAZ_UNITTYPE,84,1)&lt;&gt;"",),IF(OR(INDEX(OHZ_HAZ_LOCATION,84,1)="",INDEX(OHZ_HAZ_AMOUNT,84,1)="",),FALSE,TRUE),TRUE)</f>
        <v>1</v>
      </c>
      <c r="K841" s="52" t="str">
        <f t="shared" si="28"/>
        <v>Row 84 - For a ‘Transport unit’ both ‘Location on board’ and ‘Amount’ are required</v>
      </c>
      <c r="L841" s="236" t="s">
        <v>1853</v>
      </c>
    </row>
    <row r="842" spans="7:12">
      <c r="G842" s="250" t="b">
        <f>IF(OR(INDEX(IHZ_HAZ_UNITTYPE,85,1)&lt;&gt;"",),IF(OR(INDEX(IHZ_HAZ_LOCATION,85,1)="",INDEX(IHZ_HAZ_AMOUNT,85,1)="",),FALSE,TRUE),TRUE)</f>
        <v>1</v>
      </c>
      <c r="H842" s="52" t="str">
        <f t="shared" si="27"/>
        <v>Row 85 - For a ‘Transport unit’ both ‘Location on board’ and ‘Amount’ are required</v>
      </c>
      <c r="I842" s="236" t="s">
        <v>1853</v>
      </c>
      <c r="J842" s="52" t="b">
        <f>IF(OR(INDEX(OHZ_HAZ_UNITTYPE,85,1)&lt;&gt;"",),IF(OR(INDEX(OHZ_HAZ_LOCATION,85,1)="",INDEX(OHZ_HAZ_AMOUNT,85,1)="",),FALSE,TRUE),TRUE)</f>
        <v>1</v>
      </c>
      <c r="K842" s="52" t="str">
        <f t="shared" si="28"/>
        <v>Row 85 - For a ‘Transport unit’ both ‘Location on board’ and ‘Amount’ are required</v>
      </c>
      <c r="L842" s="236" t="s">
        <v>1853</v>
      </c>
    </row>
    <row r="843" spans="7:12">
      <c r="G843" s="250" t="b">
        <f>IF(OR(INDEX(IHZ_HAZ_UNITTYPE,86,1)&lt;&gt;"",),IF(OR(INDEX(IHZ_HAZ_LOCATION,86,1)="",INDEX(IHZ_HAZ_AMOUNT,86,1)="",),FALSE,TRUE),TRUE)</f>
        <v>1</v>
      </c>
      <c r="H843" s="52" t="str">
        <f t="shared" si="27"/>
        <v>Row 86 - For a ‘Transport unit’ both ‘Location on board’ and ‘Amount’ are required</v>
      </c>
      <c r="I843" s="236" t="s">
        <v>1853</v>
      </c>
      <c r="J843" s="52" t="b">
        <f>IF(OR(INDEX(OHZ_HAZ_UNITTYPE,86,1)&lt;&gt;"",),IF(OR(INDEX(OHZ_HAZ_LOCATION,86,1)="",INDEX(OHZ_HAZ_AMOUNT,86,1)="",),FALSE,TRUE),TRUE)</f>
        <v>1</v>
      </c>
      <c r="K843" s="52" t="str">
        <f t="shared" si="28"/>
        <v>Row 86 - For a ‘Transport unit’ both ‘Location on board’ and ‘Amount’ are required</v>
      </c>
      <c r="L843" s="236" t="s">
        <v>1853</v>
      </c>
    </row>
    <row r="844" spans="7:12">
      <c r="G844" s="250" t="b">
        <f>IF(OR(INDEX(IHZ_HAZ_UNITTYPE,87,1)&lt;&gt;"",),IF(OR(INDEX(IHZ_HAZ_LOCATION,87,1)="",INDEX(IHZ_HAZ_AMOUNT,87,1)="",),FALSE,TRUE),TRUE)</f>
        <v>1</v>
      </c>
      <c r="H844" s="52" t="str">
        <f t="shared" si="27"/>
        <v>Row 87 - For a ‘Transport unit’ both ‘Location on board’ and ‘Amount’ are required</v>
      </c>
      <c r="I844" s="236" t="s">
        <v>1853</v>
      </c>
      <c r="J844" s="52" t="b">
        <f>IF(OR(INDEX(OHZ_HAZ_UNITTYPE,87,1)&lt;&gt;"",),IF(OR(INDEX(OHZ_HAZ_LOCATION,87,1)="",INDEX(OHZ_HAZ_AMOUNT,87,1)="",),FALSE,TRUE),TRUE)</f>
        <v>1</v>
      </c>
      <c r="K844" s="52" t="str">
        <f t="shared" si="28"/>
        <v>Row 87 - For a ‘Transport unit’ both ‘Location on board’ and ‘Amount’ are required</v>
      </c>
      <c r="L844" s="236" t="s">
        <v>1853</v>
      </c>
    </row>
    <row r="845" spans="7:12">
      <c r="G845" s="250" t="b">
        <f>IF(OR(INDEX(IHZ_HAZ_UNITTYPE,88,1)&lt;&gt;"",),IF(OR(INDEX(IHZ_HAZ_LOCATION,88,1)="",INDEX(IHZ_HAZ_AMOUNT,88,1)="",),FALSE,TRUE),TRUE)</f>
        <v>1</v>
      </c>
      <c r="H845" s="52" t="str">
        <f t="shared" si="27"/>
        <v>Row 88 - For a ‘Transport unit’ both ‘Location on board’ and ‘Amount’ are required</v>
      </c>
      <c r="I845" s="236" t="s">
        <v>1853</v>
      </c>
      <c r="J845" s="52" t="b">
        <f>IF(OR(INDEX(OHZ_HAZ_UNITTYPE,88,1)&lt;&gt;"",),IF(OR(INDEX(OHZ_HAZ_LOCATION,88,1)="",INDEX(OHZ_HAZ_AMOUNT,88,1)="",),FALSE,TRUE),TRUE)</f>
        <v>1</v>
      </c>
      <c r="K845" s="52" t="str">
        <f t="shared" si="28"/>
        <v>Row 88 - For a ‘Transport unit’ both ‘Location on board’ and ‘Amount’ are required</v>
      </c>
      <c r="L845" s="236" t="s">
        <v>1853</v>
      </c>
    </row>
    <row r="846" spans="7:12">
      <c r="G846" s="250" t="b">
        <f>IF(OR(INDEX(IHZ_HAZ_UNITTYPE,89,1)&lt;&gt;"",),IF(OR(INDEX(IHZ_HAZ_LOCATION,89,1)="",INDEX(IHZ_HAZ_AMOUNT,89,1)="",),FALSE,TRUE),TRUE)</f>
        <v>1</v>
      </c>
      <c r="H846" s="52" t="str">
        <f t="shared" si="27"/>
        <v>Row 89 - For a ‘Transport unit’ both ‘Location on board’ and ‘Amount’ are required</v>
      </c>
      <c r="I846" s="236" t="s">
        <v>1853</v>
      </c>
      <c r="J846" s="52" t="b">
        <f>IF(OR(INDEX(OHZ_HAZ_UNITTYPE,89,1)&lt;&gt;"",),IF(OR(INDEX(OHZ_HAZ_LOCATION,89,1)="",INDEX(OHZ_HAZ_AMOUNT,89,1)="",),FALSE,TRUE),TRUE)</f>
        <v>1</v>
      </c>
      <c r="K846" s="52" t="str">
        <f t="shared" si="28"/>
        <v>Row 89 - For a ‘Transport unit’ both ‘Location on board’ and ‘Amount’ are required</v>
      </c>
      <c r="L846" s="236" t="s">
        <v>1853</v>
      </c>
    </row>
    <row r="847" spans="7:12">
      <c r="G847" s="250" t="b">
        <f>IF(OR(INDEX(IHZ_HAZ_UNITTYPE,90,1)&lt;&gt;"",),IF(OR(INDEX(IHZ_HAZ_LOCATION,90,1)="",INDEX(IHZ_HAZ_AMOUNT,90,1)="",),FALSE,TRUE),TRUE)</f>
        <v>1</v>
      </c>
      <c r="H847" s="52" t="str">
        <f t="shared" si="27"/>
        <v>Row 90 - For a ‘Transport unit’ both ‘Location on board’ and ‘Amount’ are required</v>
      </c>
      <c r="I847" s="236" t="s">
        <v>1853</v>
      </c>
      <c r="J847" s="52" t="b">
        <f>IF(OR(INDEX(OHZ_HAZ_UNITTYPE,90,1)&lt;&gt;"",),IF(OR(INDEX(OHZ_HAZ_LOCATION,90,1)="",INDEX(OHZ_HAZ_AMOUNT,90,1)="",),FALSE,TRUE),TRUE)</f>
        <v>1</v>
      </c>
      <c r="K847" s="52" t="str">
        <f t="shared" si="28"/>
        <v>Row 90 - For a ‘Transport unit’ both ‘Location on board’ and ‘Amount’ are required</v>
      </c>
      <c r="L847" s="236" t="s">
        <v>1853</v>
      </c>
    </row>
    <row r="848" spans="7:12">
      <c r="G848" s="250" t="b">
        <f>IF(OR(INDEX(IHZ_HAZ_UNITTYPE,91,1)&lt;&gt;"",),IF(OR(INDEX(IHZ_HAZ_LOCATION,91,1)="",INDEX(IHZ_HAZ_AMOUNT,91,1)="",),FALSE,TRUE),TRUE)</f>
        <v>1</v>
      </c>
      <c r="H848" s="52" t="str">
        <f t="shared" si="27"/>
        <v>Row 91 - For a ‘Transport unit’ both ‘Location on board’ and ‘Amount’ are required</v>
      </c>
      <c r="I848" s="236" t="s">
        <v>1853</v>
      </c>
      <c r="J848" s="52" t="b">
        <f>IF(OR(INDEX(OHZ_HAZ_UNITTYPE,91,1)&lt;&gt;"",),IF(OR(INDEX(OHZ_HAZ_LOCATION,91,1)="",INDEX(OHZ_HAZ_AMOUNT,91,1)="",),FALSE,TRUE),TRUE)</f>
        <v>1</v>
      </c>
      <c r="K848" s="52" t="str">
        <f t="shared" si="28"/>
        <v>Row 91 - For a ‘Transport unit’ both ‘Location on board’ and ‘Amount’ are required</v>
      </c>
      <c r="L848" s="236" t="s">
        <v>1853</v>
      </c>
    </row>
    <row r="849" spans="7:12">
      <c r="G849" s="250" t="b">
        <f>IF(OR(INDEX(IHZ_HAZ_UNITTYPE,92,1)&lt;&gt;"",),IF(OR(INDEX(IHZ_HAZ_LOCATION,92,1)="",INDEX(IHZ_HAZ_AMOUNT,92,1)="",),FALSE,TRUE),TRUE)</f>
        <v>1</v>
      </c>
      <c r="H849" s="52" t="str">
        <f t="shared" si="27"/>
        <v>Row 92 - For a ‘Transport unit’ both ‘Location on board’ and ‘Amount’ are required</v>
      </c>
      <c r="I849" s="236" t="s">
        <v>1853</v>
      </c>
      <c r="J849" s="52" t="b">
        <f>IF(OR(INDEX(OHZ_HAZ_UNITTYPE,92,1)&lt;&gt;"",),IF(OR(INDEX(OHZ_HAZ_LOCATION,92,1)="",INDEX(OHZ_HAZ_AMOUNT,92,1)="",),FALSE,TRUE),TRUE)</f>
        <v>1</v>
      </c>
      <c r="K849" s="52" t="str">
        <f t="shared" si="28"/>
        <v>Row 92 - For a ‘Transport unit’ both ‘Location on board’ and ‘Amount’ are required</v>
      </c>
      <c r="L849" s="236" t="s">
        <v>1853</v>
      </c>
    </row>
    <row r="850" spans="7:12">
      <c r="G850" s="250" t="b">
        <f>IF(OR(INDEX(IHZ_HAZ_UNITTYPE,93,1)&lt;&gt;"",),IF(OR(INDEX(IHZ_HAZ_LOCATION,93,1)="",INDEX(IHZ_HAZ_AMOUNT,93,1)="",),FALSE,TRUE),TRUE)</f>
        <v>1</v>
      </c>
      <c r="H850" s="52" t="str">
        <f t="shared" si="27"/>
        <v>Row 93 - For a ‘Transport unit’ both ‘Location on board’ and ‘Amount’ are required</v>
      </c>
      <c r="I850" s="236" t="s">
        <v>1853</v>
      </c>
      <c r="J850" s="52" t="b">
        <f>IF(OR(INDEX(OHZ_HAZ_UNITTYPE,93,1)&lt;&gt;"",),IF(OR(INDEX(OHZ_HAZ_LOCATION,93,1)="",INDEX(OHZ_HAZ_AMOUNT,93,1)="",),FALSE,TRUE),TRUE)</f>
        <v>1</v>
      </c>
      <c r="K850" s="52" t="str">
        <f t="shared" si="28"/>
        <v>Row 93 - For a ‘Transport unit’ both ‘Location on board’ and ‘Amount’ are required</v>
      </c>
      <c r="L850" s="236" t="s">
        <v>1853</v>
      </c>
    </row>
    <row r="851" spans="7:12">
      <c r="G851" s="250" t="b">
        <f>IF(OR(INDEX(IHZ_HAZ_UNITTYPE,94,1)&lt;&gt;"",),IF(OR(INDEX(IHZ_HAZ_LOCATION,94,1)="",INDEX(IHZ_HAZ_AMOUNT,94,1)="",),FALSE,TRUE),TRUE)</f>
        <v>1</v>
      </c>
      <c r="H851" s="52" t="str">
        <f t="shared" si="27"/>
        <v>Row 94 - For a ‘Transport unit’ both ‘Location on board’ and ‘Amount’ are required</v>
      </c>
      <c r="I851" s="236" t="s">
        <v>1853</v>
      </c>
      <c r="J851" s="52" t="b">
        <f>IF(OR(INDEX(OHZ_HAZ_UNITTYPE,94,1)&lt;&gt;"",),IF(OR(INDEX(OHZ_HAZ_LOCATION,94,1)="",INDEX(OHZ_HAZ_AMOUNT,94,1)="",),FALSE,TRUE),TRUE)</f>
        <v>1</v>
      </c>
      <c r="K851" s="52" t="str">
        <f t="shared" si="28"/>
        <v>Row 94 - For a ‘Transport unit’ both ‘Location on board’ and ‘Amount’ are required</v>
      </c>
      <c r="L851" s="236" t="s">
        <v>1853</v>
      </c>
    </row>
    <row r="852" spans="7:12">
      <c r="G852" s="250" t="b">
        <f>IF(OR(INDEX(IHZ_HAZ_UNITTYPE,95,1)&lt;&gt;"",),IF(OR(INDEX(IHZ_HAZ_LOCATION,95,1)="",INDEX(IHZ_HAZ_AMOUNT,95,1)="",),FALSE,TRUE),TRUE)</f>
        <v>1</v>
      </c>
      <c r="H852" s="52" t="str">
        <f t="shared" si="27"/>
        <v>Row 95 - For a ‘Transport unit’ both ‘Location on board’ and ‘Amount’ are required</v>
      </c>
      <c r="I852" s="236" t="s">
        <v>1853</v>
      </c>
      <c r="J852" s="52" t="b">
        <f>IF(OR(INDEX(OHZ_HAZ_UNITTYPE,95,1)&lt;&gt;"",),IF(OR(INDEX(OHZ_HAZ_LOCATION,95,1)="",INDEX(OHZ_HAZ_AMOUNT,95,1)="",),FALSE,TRUE),TRUE)</f>
        <v>1</v>
      </c>
      <c r="K852" s="52" t="str">
        <f t="shared" si="28"/>
        <v>Row 95 - For a ‘Transport unit’ both ‘Location on board’ and ‘Amount’ are required</v>
      </c>
      <c r="L852" s="236" t="s">
        <v>1853</v>
      </c>
    </row>
    <row r="853" spans="7:12">
      <c r="G853" s="250" t="b">
        <f>IF(OR(INDEX(IHZ_HAZ_UNITTYPE,96,1)&lt;&gt;"",),IF(OR(INDEX(IHZ_HAZ_LOCATION,96,1)="",INDEX(IHZ_HAZ_AMOUNT,96,1)="",),FALSE,TRUE),TRUE)</f>
        <v>1</v>
      </c>
      <c r="H853" s="52" t="str">
        <f t="shared" si="27"/>
        <v>Row 96 - For a ‘Transport unit’ both ‘Location on board’ and ‘Amount’ are required</v>
      </c>
      <c r="I853" s="236" t="s">
        <v>1853</v>
      </c>
      <c r="J853" s="52" t="b">
        <f>IF(OR(INDEX(OHZ_HAZ_UNITTYPE,96,1)&lt;&gt;"",),IF(OR(INDEX(OHZ_HAZ_LOCATION,96,1)="",INDEX(OHZ_HAZ_AMOUNT,96,1)="",),FALSE,TRUE),TRUE)</f>
        <v>1</v>
      </c>
      <c r="K853" s="52" t="str">
        <f t="shared" si="28"/>
        <v>Row 96 - For a ‘Transport unit’ both ‘Location on board’ and ‘Amount’ are required</v>
      </c>
      <c r="L853" s="236" t="s">
        <v>1853</v>
      </c>
    </row>
    <row r="854" spans="7:12">
      <c r="G854" s="250" t="b">
        <f>IF(OR(INDEX(IHZ_HAZ_UNITTYPE,97,1)&lt;&gt;"",),IF(OR(INDEX(IHZ_HAZ_LOCATION,97,1)="",INDEX(IHZ_HAZ_AMOUNT,97,1)="",),FALSE,TRUE),TRUE)</f>
        <v>1</v>
      </c>
      <c r="H854" s="52" t="str">
        <f t="shared" si="27"/>
        <v>Row 97 - For a ‘Transport unit’ both ‘Location on board’ and ‘Amount’ are required</v>
      </c>
      <c r="I854" s="236" t="s">
        <v>1853</v>
      </c>
      <c r="J854" s="52" t="b">
        <f>IF(OR(INDEX(OHZ_HAZ_UNITTYPE,97,1)&lt;&gt;"",),IF(OR(INDEX(OHZ_HAZ_LOCATION,97,1)="",INDEX(OHZ_HAZ_AMOUNT,97,1)="",),FALSE,TRUE),TRUE)</f>
        <v>1</v>
      </c>
      <c r="K854" s="52" t="str">
        <f t="shared" si="28"/>
        <v>Row 97 - For a ‘Transport unit’ both ‘Location on board’ and ‘Amount’ are required</v>
      </c>
      <c r="L854" s="236" t="s">
        <v>1853</v>
      </c>
    </row>
    <row r="855" spans="7:12">
      <c r="G855" s="250" t="b">
        <f>IF(OR(INDEX(IHZ_HAZ_UNITTYPE,98,1)&lt;&gt;"",),IF(OR(INDEX(IHZ_HAZ_LOCATION,98,1)="",INDEX(IHZ_HAZ_AMOUNT,98,1)="",),FALSE,TRUE),TRUE)</f>
        <v>1</v>
      </c>
      <c r="H855" s="52" t="str">
        <f t="shared" si="27"/>
        <v>Row 98 - For a ‘Transport unit’ both ‘Location on board’ and ‘Amount’ are required</v>
      </c>
      <c r="I855" s="236" t="s">
        <v>1853</v>
      </c>
      <c r="J855" s="52" t="b">
        <f>IF(OR(INDEX(OHZ_HAZ_UNITTYPE,98,1)&lt;&gt;"",),IF(OR(INDEX(OHZ_HAZ_LOCATION,98,1)="",INDEX(OHZ_HAZ_AMOUNT,98,1)="",),FALSE,TRUE),TRUE)</f>
        <v>1</v>
      </c>
      <c r="K855" s="52" t="str">
        <f t="shared" si="28"/>
        <v>Row 98 - For a ‘Transport unit’ both ‘Location on board’ and ‘Amount’ are required</v>
      </c>
      <c r="L855" s="236" t="s">
        <v>1853</v>
      </c>
    </row>
    <row r="856" spans="7:12">
      <c r="G856" s="250" t="b">
        <f>IF(OR(INDEX(IHZ_HAZ_UNITTYPE,99,1)&lt;&gt;"",),IF(OR(INDEX(IHZ_HAZ_LOCATION,99,1)="",INDEX(IHZ_HAZ_AMOUNT,99,1)="",),FALSE,TRUE),TRUE)</f>
        <v>1</v>
      </c>
      <c r="H856" s="52" t="str">
        <f t="shared" si="27"/>
        <v>Row 99 - For a ‘Transport unit’ both ‘Location on board’ and ‘Amount’ are required</v>
      </c>
      <c r="I856" s="236" t="s">
        <v>1853</v>
      </c>
      <c r="J856" s="52" t="b">
        <f>IF(OR(INDEX(OHZ_HAZ_UNITTYPE,99,1)&lt;&gt;"",),IF(OR(INDEX(OHZ_HAZ_LOCATION,99,1)="",INDEX(OHZ_HAZ_AMOUNT,99,1)="",),FALSE,TRUE),TRUE)</f>
        <v>1</v>
      </c>
      <c r="K856" s="52" t="str">
        <f t="shared" si="28"/>
        <v>Row 99 - For a ‘Transport unit’ both ‘Location on board’ and ‘Amount’ are required</v>
      </c>
      <c r="L856" s="236" t="s">
        <v>1853</v>
      </c>
    </row>
    <row r="857" spans="7:12">
      <c r="G857" s="250" t="b">
        <f>IF(OR(INDEX(IHZ_HAZ_UNITTYPE,100,1)&lt;&gt;"",),IF(OR(INDEX(IHZ_HAZ_LOCATION,100,1)="",INDEX(IHZ_HAZ_AMOUNT,100,1)="",),FALSE,TRUE),TRUE)</f>
        <v>1</v>
      </c>
      <c r="H857" s="52" t="str">
        <f t="shared" si="27"/>
        <v>Row 100 - For a ‘Transport unit’ both ‘Location on board’ and ‘Amount’ are required</v>
      </c>
      <c r="I857" s="236" t="s">
        <v>1853</v>
      </c>
      <c r="J857" s="52" t="b">
        <f>IF(OR(INDEX(OHZ_HAZ_UNITTYPE,100,1)&lt;&gt;"",),IF(OR(INDEX(OHZ_HAZ_LOCATION,100,1)="",INDEX(OHZ_HAZ_AMOUNT,100,1)="",),FALSE,TRUE),TRUE)</f>
        <v>1</v>
      </c>
      <c r="K857" s="52" t="str">
        <f t="shared" si="28"/>
        <v>Row 100 - For a ‘Transport unit’ both ‘Location on board’ and ‘Amount’ are required</v>
      </c>
      <c r="L857" s="236" t="s">
        <v>1853</v>
      </c>
    </row>
    <row r="858" spans="7:12">
      <c r="G858" s="250" t="b">
        <f>IF(OR(INDEX(IHZ_HAZ_UNITTYPE,101,1)&lt;&gt;"",),IF(OR(INDEX(IHZ_HAZ_LOCATION,101,1)="",INDEX(IHZ_HAZ_AMOUNT,101,1)="",),FALSE,TRUE),TRUE)</f>
        <v>1</v>
      </c>
      <c r="H858" s="52" t="str">
        <f t="shared" si="27"/>
        <v>Row 101 - For a ‘Transport unit’ both ‘Location on board’ and ‘Amount’ are required</v>
      </c>
      <c r="I858" s="236" t="s">
        <v>1853</v>
      </c>
      <c r="J858" s="52" t="b">
        <f>IF(OR(INDEX(OHZ_HAZ_UNITTYPE,101,1)&lt;&gt;"",),IF(OR(INDEX(OHZ_HAZ_LOCATION,101,1)="",INDEX(OHZ_HAZ_AMOUNT,101,1)="",),FALSE,TRUE),TRUE)</f>
        <v>1</v>
      </c>
      <c r="K858" s="52" t="str">
        <f t="shared" si="28"/>
        <v>Row 101 - For a ‘Transport unit’ both ‘Location on board’ and ‘Amount’ are required</v>
      </c>
      <c r="L858" s="236" t="s">
        <v>1853</v>
      </c>
    </row>
    <row r="859" spans="7:12">
      <c r="G859" s="250" t="b">
        <f>IF(OR(INDEX(IHZ_HAZ_UNITTYPE,102,1)&lt;&gt;"",),IF(OR(INDEX(IHZ_HAZ_LOCATION,102,1)="",INDEX(IHZ_HAZ_AMOUNT,102,1)="",),FALSE,TRUE),TRUE)</f>
        <v>1</v>
      </c>
      <c r="H859" s="52" t="str">
        <f t="shared" si="27"/>
        <v>Row 102 - For a ‘Transport unit’ both ‘Location on board’ and ‘Amount’ are required</v>
      </c>
      <c r="I859" s="236" t="s">
        <v>1853</v>
      </c>
      <c r="J859" s="52" t="b">
        <f>IF(OR(INDEX(OHZ_HAZ_UNITTYPE,102,1)&lt;&gt;"",),IF(OR(INDEX(OHZ_HAZ_LOCATION,102,1)="",INDEX(OHZ_HAZ_AMOUNT,102,1)="",),FALSE,TRUE),TRUE)</f>
        <v>1</v>
      </c>
      <c r="K859" s="52" t="str">
        <f t="shared" si="28"/>
        <v>Row 102 - For a ‘Transport unit’ both ‘Location on board’ and ‘Amount’ are required</v>
      </c>
      <c r="L859" s="236" t="s">
        <v>1853</v>
      </c>
    </row>
    <row r="860" spans="7:12">
      <c r="G860" s="250" t="b">
        <f>IF(OR(INDEX(IHZ_HAZ_UNITTYPE,103,1)&lt;&gt;"",),IF(OR(INDEX(IHZ_HAZ_LOCATION,103,1)="",INDEX(IHZ_HAZ_AMOUNT,103,1)="",),FALSE,TRUE),TRUE)</f>
        <v>1</v>
      </c>
      <c r="H860" s="52" t="str">
        <f t="shared" si="27"/>
        <v>Row 103 - For a ‘Transport unit’ both ‘Location on board’ and ‘Amount’ are required</v>
      </c>
      <c r="I860" s="236" t="s">
        <v>1853</v>
      </c>
      <c r="J860" s="52" t="b">
        <f>IF(OR(INDEX(OHZ_HAZ_UNITTYPE,103,1)&lt;&gt;"",),IF(OR(INDEX(OHZ_HAZ_LOCATION,103,1)="",INDEX(OHZ_HAZ_AMOUNT,103,1)="",),FALSE,TRUE),TRUE)</f>
        <v>1</v>
      </c>
      <c r="K860" s="52" t="str">
        <f t="shared" si="28"/>
        <v>Row 103 - For a ‘Transport unit’ both ‘Location on board’ and ‘Amount’ are required</v>
      </c>
      <c r="L860" s="236" t="s">
        <v>1853</v>
      </c>
    </row>
    <row r="861" spans="7:12">
      <c r="G861" s="250" t="b">
        <f>IF(OR(INDEX(IHZ_HAZ_UNITTYPE,104,1)&lt;&gt;"",),IF(OR(INDEX(IHZ_HAZ_LOCATION,104,1)="",INDEX(IHZ_HAZ_AMOUNT,104,1)="",),FALSE,TRUE),TRUE)</f>
        <v>1</v>
      </c>
      <c r="H861" s="52" t="str">
        <f t="shared" si="27"/>
        <v>Row 104 - For a ‘Transport unit’ both ‘Location on board’ and ‘Amount’ are required</v>
      </c>
      <c r="I861" s="236" t="s">
        <v>1853</v>
      </c>
      <c r="J861" s="52" t="b">
        <f>IF(OR(INDEX(OHZ_HAZ_UNITTYPE,104,1)&lt;&gt;"",),IF(OR(INDEX(OHZ_HAZ_LOCATION,104,1)="",INDEX(OHZ_HAZ_AMOUNT,104,1)="",),FALSE,TRUE),TRUE)</f>
        <v>1</v>
      </c>
      <c r="K861" s="52" t="str">
        <f t="shared" si="28"/>
        <v>Row 104 - For a ‘Transport unit’ both ‘Location on board’ and ‘Amount’ are required</v>
      </c>
      <c r="L861" s="236" t="s">
        <v>1853</v>
      </c>
    </row>
    <row r="862" spans="7:12">
      <c r="G862" s="250" t="b">
        <f>IF(OR(INDEX(IHZ_HAZ_UNITTYPE,105,1)&lt;&gt;"",),IF(OR(INDEX(IHZ_HAZ_LOCATION,105,1)="",INDEX(IHZ_HAZ_AMOUNT,105,1)="",),FALSE,TRUE),TRUE)</f>
        <v>1</v>
      </c>
      <c r="H862" s="52" t="str">
        <f t="shared" si="27"/>
        <v>Row 105 - For a ‘Transport unit’ both ‘Location on board’ and ‘Amount’ are required</v>
      </c>
      <c r="I862" s="236" t="s">
        <v>1853</v>
      </c>
      <c r="J862" s="52" t="b">
        <f>IF(OR(INDEX(OHZ_HAZ_UNITTYPE,105,1)&lt;&gt;"",),IF(OR(INDEX(OHZ_HAZ_LOCATION,105,1)="",INDEX(OHZ_HAZ_AMOUNT,105,1)="",),FALSE,TRUE),TRUE)</f>
        <v>1</v>
      </c>
      <c r="K862" s="52" t="str">
        <f t="shared" si="28"/>
        <v>Row 105 - For a ‘Transport unit’ both ‘Location on board’ and ‘Amount’ are required</v>
      </c>
      <c r="L862" s="236" t="s">
        <v>1853</v>
      </c>
    </row>
    <row r="863" spans="7:12">
      <c r="G863" s="250" t="b">
        <f>IF(OR(INDEX(IHZ_HAZ_UNITTYPE,106,1)&lt;&gt;"",),IF(OR(INDEX(IHZ_HAZ_LOCATION,106,1)="",INDEX(IHZ_HAZ_AMOUNT,106,1)="",),FALSE,TRUE),TRUE)</f>
        <v>1</v>
      </c>
      <c r="H863" s="52" t="str">
        <f t="shared" si="27"/>
        <v>Row 106 - For a ‘Transport unit’ both ‘Location on board’ and ‘Amount’ are required</v>
      </c>
      <c r="I863" s="236" t="s">
        <v>1853</v>
      </c>
      <c r="J863" s="52" t="b">
        <f>IF(OR(INDEX(OHZ_HAZ_UNITTYPE,106,1)&lt;&gt;"",),IF(OR(INDEX(OHZ_HAZ_LOCATION,106,1)="",INDEX(OHZ_HAZ_AMOUNT,106,1)="",),FALSE,TRUE),TRUE)</f>
        <v>1</v>
      </c>
      <c r="K863" s="52" t="str">
        <f t="shared" si="28"/>
        <v>Row 106 - For a ‘Transport unit’ both ‘Location on board’ and ‘Amount’ are required</v>
      </c>
      <c r="L863" s="236" t="s">
        <v>1853</v>
      </c>
    </row>
    <row r="864" spans="7:12">
      <c r="G864" s="250" t="b">
        <f>IF(OR(INDEX(IHZ_HAZ_UNITTYPE,107,1)&lt;&gt;"",),IF(OR(INDEX(IHZ_HAZ_LOCATION,107,1)="",INDEX(IHZ_HAZ_AMOUNT,107,1)="",),FALSE,TRUE),TRUE)</f>
        <v>1</v>
      </c>
      <c r="H864" s="52" t="str">
        <f t="shared" si="27"/>
        <v>Row 107 - For a ‘Transport unit’ both ‘Location on board’ and ‘Amount’ are required</v>
      </c>
      <c r="I864" s="236" t="s">
        <v>1853</v>
      </c>
      <c r="J864" s="52" t="b">
        <f>IF(OR(INDEX(OHZ_HAZ_UNITTYPE,107,1)&lt;&gt;"",),IF(OR(INDEX(OHZ_HAZ_LOCATION,107,1)="",INDEX(OHZ_HAZ_AMOUNT,107,1)="",),FALSE,TRUE),TRUE)</f>
        <v>1</v>
      </c>
      <c r="K864" s="52" t="str">
        <f t="shared" si="28"/>
        <v>Row 107 - For a ‘Transport unit’ both ‘Location on board’ and ‘Amount’ are required</v>
      </c>
      <c r="L864" s="236" t="s">
        <v>1853</v>
      </c>
    </row>
    <row r="865" spans="7:12">
      <c r="G865" s="250" t="b">
        <f>IF(OR(INDEX(IHZ_HAZ_UNITTYPE,108,1)&lt;&gt;"",),IF(OR(INDEX(IHZ_HAZ_LOCATION,108,1)="",INDEX(IHZ_HAZ_AMOUNT,108,1)="",),FALSE,TRUE),TRUE)</f>
        <v>1</v>
      </c>
      <c r="H865" s="52" t="str">
        <f t="shared" si="27"/>
        <v>Row 108 - For a ‘Transport unit’ both ‘Location on board’ and ‘Amount’ are required</v>
      </c>
      <c r="I865" s="236" t="s">
        <v>1853</v>
      </c>
      <c r="J865" s="52" t="b">
        <f>IF(OR(INDEX(OHZ_HAZ_UNITTYPE,108,1)&lt;&gt;"",),IF(OR(INDEX(OHZ_HAZ_LOCATION,108,1)="",INDEX(OHZ_HAZ_AMOUNT,108,1)="",),FALSE,TRUE),TRUE)</f>
        <v>1</v>
      </c>
      <c r="K865" s="52" t="str">
        <f t="shared" si="28"/>
        <v>Row 108 - For a ‘Transport unit’ both ‘Location on board’ and ‘Amount’ are required</v>
      </c>
      <c r="L865" s="236" t="s">
        <v>1853</v>
      </c>
    </row>
    <row r="866" spans="7:12">
      <c r="G866" s="250" t="b">
        <f>IF(OR(INDEX(IHZ_HAZ_UNITTYPE,109,1)&lt;&gt;"",),IF(OR(INDEX(IHZ_HAZ_LOCATION,109,1)="",INDEX(IHZ_HAZ_AMOUNT,109,1)="",),FALSE,TRUE),TRUE)</f>
        <v>1</v>
      </c>
      <c r="H866" s="52" t="str">
        <f t="shared" si="27"/>
        <v>Row 109 - For a ‘Transport unit’ both ‘Location on board’ and ‘Amount’ are required</v>
      </c>
      <c r="I866" s="236" t="s">
        <v>1853</v>
      </c>
      <c r="J866" s="52" t="b">
        <f>IF(OR(INDEX(OHZ_HAZ_UNITTYPE,109,1)&lt;&gt;"",),IF(OR(INDEX(OHZ_HAZ_LOCATION,109,1)="",INDEX(OHZ_HAZ_AMOUNT,109,1)="",),FALSE,TRUE),TRUE)</f>
        <v>1</v>
      </c>
      <c r="K866" s="52" t="str">
        <f t="shared" si="28"/>
        <v>Row 109 - For a ‘Transport unit’ both ‘Location on board’ and ‘Amount’ are required</v>
      </c>
      <c r="L866" s="236" t="s">
        <v>1853</v>
      </c>
    </row>
    <row r="867" spans="7:12">
      <c r="G867" s="250" t="b">
        <f>IF(OR(INDEX(IHZ_HAZ_UNITTYPE,110,1)&lt;&gt;"",),IF(OR(INDEX(IHZ_HAZ_LOCATION,110,1)="",INDEX(IHZ_HAZ_AMOUNT,110,1)="",),FALSE,TRUE),TRUE)</f>
        <v>1</v>
      </c>
      <c r="H867" s="52" t="str">
        <f t="shared" si="27"/>
        <v>Row 110 - For a ‘Transport unit’ both ‘Location on board’ and ‘Amount’ are required</v>
      </c>
      <c r="I867" s="236" t="s">
        <v>1853</v>
      </c>
      <c r="J867" s="52" t="b">
        <f>IF(OR(INDEX(OHZ_HAZ_UNITTYPE,110,1)&lt;&gt;"",),IF(OR(INDEX(OHZ_HAZ_LOCATION,110,1)="",INDEX(OHZ_HAZ_AMOUNT,110,1)="",),FALSE,TRUE),TRUE)</f>
        <v>1</v>
      </c>
      <c r="K867" s="52" t="str">
        <f t="shared" si="28"/>
        <v>Row 110 - For a ‘Transport unit’ both ‘Location on board’ and ‘Amount’ are required</v>
      </c>
      <c r="L867" s="236" t="s">
        <v>1853</v>
      </c>
    </row>
    <row r="868" spans="7:12">
      <c r="G868" s="250" t="b">
        <f>IF(OR(INDEX(IHZ_HAZ_UNITTYPE,111,1)&lt;&gt;"",),IF(OR(INDEX(IHZ_HAZ_LOCATION,111,1)="",INDEX(IHZ_HAZ_AMOUNT,111,1)="",),FALSE,TRUE),TRUE)</f>
        <v>1</v>
      </c>
      <c r="H868" s="52" t="str">
        <f t="shared" si="27"/>
        <v>Row 111 - For a ‘Transport unit’ both ‘Location on board’ and ‘Amount’ are required</v>
      </c>
      <c r="I868" s="236" t="s">
        <v>1853</v>
      </c>
      <c r="J868" s="52" t="b">
        <f>IF(OR(INDEX(OHZ_HAZ_UNITTYPE,111,1)&lt;&gt;"",),IF(OR(INDEX(OHZ_HAZ_LOCATION,111,1)="",INDEX(OHZ_HAZ_AMOUNT,111,1)="",),FALSE,TRUE),TRUE)</f>
        <v>1</v>
      </c>
      <c r="K868" s="52" t="str">
        <f t="shared" si="28"/>
        <v>Row 111 - For a ‘Transport unit’ both ‘Location on board’ and ‘Amount’ are required</v>
      </c>
      <c r="L868" s="236" t="s">
        <v>1853</v>
      </c>
    </row>
    <row r="869" spans="7:12">
      <c r="G869" s="250" t="b">
        <f>IF(OR(INDEX(IHZ_HAZ_UNITTYPE,112,1)&lt;&gt;"",),IF(OR(INDEX(IHZ_HAZ_LOCATION,112,1)="",INDEX(IHZ_HAZ_AMOUNT,112,1)="",),FALSE,TRUE),TRUE)</f>
        <v>1</v>
      </c>
      <c r="H869" s="52" t="str">
        <f t="shared" si="27"/>
        <v>Row 112 - For a ‘Transport unit’ both ‘Location on board’ and ‘Amount’ are required</v>
      </c>
      <c r="I869" s="236" t="s">
        <v>1853</v>
      </c>
      <c r="J869" s="52" t="b">
        <f>IF(OR(INDEX(OHZ_HAZ_UNITTYPE,112,1)&lt;&gt;"",),IF(OR(INDEX(OHZ_HAZ_LOCATION,112,1)="",INDEX(OHZ_HAZ_AMOUNT,112,1)="",),FALSE,TRUE),TRUE)</f>
        <v>1</v>
      </c>
      <c r="K869" s="52" t="str">
        <f t="shared" si="28"/>
        <v>Row 112 - For a ‘Transport unit’ both ‘Location on board’ and ‘Amount’ are required</v>
      </c>
      <c r="L869" s="236" t="s">
        <v>1853</v>
      </c>
    </row>
    <row r="870" spans="7:12">
      <c r="G870" s="250" t="b">
        <f>IF(OR(INDEX(IHZ_HAZ_UNITTYPE,113,1)&lt;&gt;"",),IF(OR(INDEX(IHZ_HAZ_LOCATION,113,1)="",INDEX(IHZ_HAZ_AMOUNT,113,1)="",),FALSE,TRUE),TRUE)</f>
        <v>1</v>
      </c>
      <c r="H870" s="52" t="str">
        <f t="shared" si="27"/>
        <v>Row 113 - For a ‘Transport unit’ both ‘Location on board’ and ‘Amount’ are required</v>
      </c>
      <c r="I870" s="236" t="s">
        <v>1853</v>
      </c>
      <c r="J870" s="52" t="b">
        <f>IF(OR(INDEX(OHZ_HAZ_UNITTYPE,113,1)&lt;&gt;"",),IF(OR(INDEX(OHZ_HAZ_LOCATION,113,1)="",INDEX(OHZ_HAZ_AMOUNT,113,1)="",),FALSE,TRUE),TRUE)</f>
        <v>1</v>
      </c>
      <c r="K870" s="52" t="str">
        <f t="shared" si="28"/>
        <v>Row 113 - For a ‘Transport unit’ both ‘Location on board’ and ‘Amount’ are required</v>
      </c>
      <c r="L870" s="236" t="s">
        <v>1853</v>
      </c>
    </row>
    <row r="871" spans="7:12">
      <c r="G871" s="250" t="b">
        <f>IF(OR(INDEX(IHZ_HAZ_UNITTYPE,114,1)&lt;&gt;"",),IF(OR(INDEX(IHZ_HAZ_LOCATION,114,1)="",INDEX(IHZ_HAZ_AMOUNT,114,1)="",),FALSE,TRUE),TRUE)</f>
        <v>1</v>
      </c>
      <c r="H871" s="52" t="str">
        <f t="shared" si="27"/>
        <v>Row 114 - For a ‘Transport unit’ both ‘Location on board’ and ‘Amount’ are required</v>
      </c>
      <c r="I871" s="236" t="s">
        <v>1853</v>
      </c>
      <c r="J871" s="52" t="b">
        <f>IF(OR(INDEX(OHZ_HAZ_UNITTYPE,114,1)&lt;&gt;"",),IF(OR(INDEX(OHZ_HAZ_LOCATION,114,1)="",INDEX(OHZ_HAZ_AMOUNT,114,1)="",),FALSE,TRUE),TRUE)</f>
        <v>1</v>
      </c>
      <c r="K871" s="52" t="str">
        <f t="shared" si="28"/>
        <v>Row 114 - For a ‘Transport unit’ both ‘Location on board’ and ‘Amount’ are required</v>
      </c>
      <c r="L871" s="236" t="s">
        <v>1853</v>
      </c>
    </row>
    <row r="872" spans="7:12">
      <c r="G872" s="250" t="b">
        <f>IF(OR(INDEX(IHZ_HAZ_UNITTYPE,115,1)&lt;&gt;"",),IF(OR(INDEX(IHZ_HAZ_LOCATION,115,1)="",INDEX(IHZ_HAZ_AMOUNT,115,1)="",),FALSE,TRUE),TRUE)</f>
        <v>1</v>
      </c>
      <c r="H872" s="52" t="str">
        <f t="shared" si="27"/>
        <v>Row 115 - For a ‘Transport unit’ both ‘Location on board’ and ‘Amount’ are required</v>
      </c>
      <c r="I872" s="236" t="s">
        <v>1853</v>
      </c>
      <c r="J872" s="52" t="b">
        <f>IF(OR(INDEX(OHZ_HAZ_UNITTYPE,115,1)&lt;&gt;"",),IF(OR(INDEX(OHZ_HAZ_LOCATION,115,1)="",INDEX(OHZ_HAZ_AMOUNT,115,1)="",),FALSE,TRUE),TRUE)</f>
        <v>1</v>
      </c>
      <c r="K872" s="52" t="str">
        <f t="shared" si="28"/>
        <v>Row 115 - For a ‘Transport unit’ both ‘Location on board’ and ‘Amount’ are required</v>
      </c>
      <c r="L872" s="236" t="s">
        <v>1853</v>
      </c>
    </row>
    <row r="873" spans="7:12">
      <c r="G873" s="250" t="b">
        <f>IF(OR(INDEX(IHZ_HAZ_UNITTYPE,116,1)&lt;&gt;"",),IF(OR(INDEX(IHZ_HAZ_LOCATION,116,1)="",INDEX(IHZ_HAZ_AMOUNT,116,1)="",),FALSE,TRUE),TRUE)</f>
        <v>1</v>
      </c>
      <c r="H873" s="52" t="str">
        <f t="shared" si="27"/>
        <v>Row 116 - For a ‘Transport unit’ both ‘Location on board’ and ‘Amount’ are required</v>
      </c>
      <c r="I873" s="236" t="s">
        <v>1853</v>
      </c>
      <c r="J873" s="52" t="b">
        <f>IF(OR(INDEX(OHZ_HAZ_UNITTYPE,116,1)&lt;&gt;"",),IF(OR(INDEX(OHZ_HAZ_LOCATION,116,1)="",INDEX(OHZ_HAZ_AMOUNT,116,1)="",),FALSE,TRUE),TRUE)</f>
        <v>1</v>
      </c>
      <c r="K873" s="52" t="str">
        <f t="shared" si="28"/>
        <v>Row 116 - For a ‘Transport unit’ both ‘Location on board’ and ‘Amount’ are required</v>
      </c>
      <c r="L873" s="236" t="s">
        <v>1853</v>
      </c>
    </row>
    <row r="874" spans="7:12">
      <c r="G874" s="250" t="b">
        <f>IF(OR(INDEX(IHZ_HAZ_UNITTYPE,117,1)&lt;&gt;"",),IF(OR(INDEX(IHZ_HAZ_LOCATION,117,1)="",INDEX(IHZ_HAZ_AMOUNT,117,1)="",),FALSE,TRUE),TRUE)</f>
        <v>1</v>
      </c>
      <c r="H874" s="52" t="str">
        <f t="shared" si="27"/>
        <v>Row 117 - For a ‘Transport unit’ both ‘Location on board’ and ‘Amount’ are required</v>
      </c>
      <c r="I874" s="236" t="s">
        <v>1853</v>
      </c>
      <c r="J874" s="52" t="b">
        <f>IF(OR(INDEX(OHZ_HAZ_UNITTYPE,117,1)&lt;&gt;"",),IF(OR(INDEX(OHZ_HAZ_LOCATION,117,1)="",INDEX(OHZ_HAZ_AMOUNT,117,1)="",),FALSE,TRUE),TRUE)</f>
        <v>1</v>
      </c>
      <c r="K874" s="52" t="str">
        <f t="shared" si="28"/>
        <v>Row 117 - For a ‘Transport unit’ both ‘Location on board’ and ‘Amount’ are required</v>
      </c>
      <c r="L874" s="236" t="s">
        <v>1853</v>
      </c>
    </row>
    <row r="875" spans="7:12">
      <c r="G875" s="250" t="b">
        <f>IF(OR(INDEX(IHZ_HAZ_UNITTYPE,118,1)&lt;&gt;"",),IF(OR(INDEX(IHZ_HAZ_LOCATION,118,1)="",INDEX(IHZ_HAZ_AMOUNT,118,1)="",),FALSE,TRUE),TRUE)</f>
        <v>1</v>
      </c>
      <c r="H875" s="52" t="str">
        <f t="shared" si="27"/>
        <v>Row 118 - For a ‘Transport unit’ both ‘Location on board’ and ‘Amount’ are required</v>
      </c>
      <c r="I875" s="236" t="s">
        <v>1853</v>
      </c>
      <c r="J875" s="52" t="b">
        <f>IF(OR(INDEX(OHZ_HAZ_UNITTYPE,118,1)&lt;&gt;"",),IF(OR(INDEX(OHZ_HAZ_LOCATION,118,1)="",INDEX(OHZ_HAZ_AMOUNT,118,1)="",),FALSE,TRUE),TRUE)</f>
        <v>1</v>
      </c>
      <c r="K875" s="52" t="str">
        <f t="shared" si="28"/>
        <v>Row 118 - For a ‘Transport unit’ both ‘Location on board’ and ‘Amount’ are required</v>
      </c>
      <c r="L875" s="236" t="s">
        <v>1853</v>
      </c>
    </row>
    <row r="876" spans="7:12">
      <c r="G876" s="250" t="b">
        <f>IF(OR(INDEX(IHZ_HAZ_UNITTYPE,119,1)&lt;&gt;"",),IF(OR(INDEX(IHZ_HAZ_LOCATION,119,1)="",INDEX(IHZ_HAZ_AMOUNT,119,1)="",),FALSE,TRUE),TRUE)</f>
        <v>1</v>
      </c>
      <c r="H876" s="52" t="str">
        <f t="shared" si="27"/>
        <v>Row 119 - For a ‘Transport unit’ both ‘Location on board’ and ‘Amount’ are required</v>
      </c>
      <c r="I876" s="236" t="s">
        <v>1853</v>
      </c>
      <c r="J876" s="52" t="b">
        <f>IF(OR(INDEX(OHZ_HAZ_UNITTYPE,119,1)&lt;&gt;"",),IF(OR(INDEX(OHZ_HAZ_LOCATION,119,1)="",INDEX(OHZ_HAZ_AMOUNT,119,1)="",),FALSE,TRUE),TRUE)</f>
        <v>1</v>
      </c>
      <c r="K876" s="52" t="str">
        <f t="shared" si="28"/>
        <v>Row 119 - For a ‘Transport unit’ both ‘Location on board’ and ‘Amount’ are required</v>
      </c>
      <c r="L876" s="236" t="s">
        <v>1853</v>
      </c>
    </row>
    <row r="877" spans="7:12">
      <c r="G877" s="250" t="b">
        <f>IF(OR(INDEX(IHZ_HAZ_UNITTYPE,120,1)&lt;&gt;"",),IF(OR(INDEX(IHZ_HAZ_LOCATION,120,1)="",INDEX(IHZ_HAZ_AMOUNT,120,1)="",),FALSE,TRUE),TRUE)</f>
        <v>1</v>
      </c>
      <c r="H877" s="52" t="str">
        <f t="shared" si="27"/>
        <v>Row 120 - For a ‘Transport unit’ both ‘Location on board’ and ‘Amount’ are required</v>
      </c>
      <c r="I877" s="236" t="s">
        <v>1853</v>
      </c>
      <c r="J877" s="52" t="b">
        <f>IF(OR(INDEX(OHZ_HAZ_UNITTYPE,120,1)&lt;&gt;"",),IF(OR(INDEX(OHZ_HAZ_LOCATION,120,1)="",INDEX(OHZ_HAZ_AMOUNT,120,1)="",),FALSE,TRUE),TRUE)</f>
        <v>1</v>
      </c>
      <c r="K877" s="52" t="str">
        <f t="shared" si="28"/>
        <v>Row 120 - For a ‘Transport unit’ both ‘Location on board’ and ‘Amount’ are required</v>
      </c>
      <c r="L877" s="236" t="s">
        <v>1853</v>
      </c>
    </row>
    <row r="878" spans="7:12">
      <c r="G878" s="250" t="b">
        <f>IF(OR(INDEX(IHZ_HAZ_UNITTYPE,121,1)&lt;&gt;"",),IF(OR(INDEX(IHZ_HAZ_LOCATION,121,1)="",INDEX(IHZ_HAZ_AMOUNT,121,1)="",),FALSE,TRUE),TRUE)</f>
        <v>1</v>
      </c>
      <c r="H878" s="52" t="str">
        <f t="shared" si="27"/>
        <v>Row 121 - For a ‘Transport unit’ both ‘Location on board’ and ‘Amount’ are required</v>
      </c>
      <c r="I878" s="236" t="s">
        <v>1853</v>
      </c>
      <c r="J878" s="52" t="b">
        <f>IF(OR(INDEX(OHZ_HAZ_UNITTYPE,121,1)&lt;&gt;"",),IF(OR(INDEX(OHZ_HAZ_LOCATION,121,1)="",INDEX(OHZ_HAZ_AMOUNT,121,1)="",),FALSE,TRUE),TRUE)</f>
        <v>1</v>
      </c>
      <c r="K878" s="52" t="str">
        <f t="shared" si="28"/>
        <v>Row 121 - For a ‘Transport unit’ both ‘Location on board’ and ‘Amount’ are required</v>
      </c>
      <c r="L878" s="236" t="s">
        <v>1853</v>
      </c>
    </row>
    <row r="879" spans="7:12">
      <c r="G879" s="250" t="b">
        <f>IF(OR(INDEX(IHZ_HAZ_UNITTYPE,122,1)&lt;&gt;"",),IF(OR(INDEX(IHZ_HAZ_LOCATION,122,1)="",INDEX(IHZ_HAZ_AMOUNT,122,1)="",),FALSE,TRUE),TRUE)</f>
        <v>1</v>
      </c>
      <c r="H879" s="52" t="str">
        <f t="shared" si="27"/>
        <v>Row 122 - For a ‘Transport unit’ both ‘Location on board’ and ‘Amount’ are required</v>
      </c>
      <c r="I879" s="236" t="s">
        <v>1853</v>
      </c>
      <c r="J879" s="52" t="b">
        <f>IF(OR(INDEX(OHZ_HAZ_UNITTYPE,122,1)&lt;&gt;"",),IF(OR(INDEX(OHZ_HAZ_LOCATION,122,1)="",INDEX(OHZ_HAZ_AMOUNT,122,1)="",),FALSE,TRUE),TRUE)</f>
        <v>1</v>
      </c>
      <c r="K879" s="52" t="str">
        <f t="shared" si="28"/>
        <v>Row 122 - For a ‘Transport unit’ both ‘Location on board’ and ‘Amount’ are required</v>
      </c>
      <c r="L879" s="236" t="s">
        <v>1853</v>
      </c>
    </row>
    <row r="880" spans="7:12">
      <c r="G880" s="250" t="b">
        <f>IF(OR(INDEX(IHZ_HAZ_UNITTYPE,123,1)&lt;&gt;"",),IF(OR(INDEX(IHZ_HAZ_LOCATION,123,1)="",INDEX(IHZ_HAZ_AMOUNT,123,1)="",),FALSE,TRUE),TRUE)</f>
        <v>1</v>
      </c>
      <c r="H880" s="52" t="str">
        <f t="shared" si="27"/>
        <v>Row 123 - For a ‘Transport unit’ both ‘Location on board’ and ‘Amount’ are required</v>
      </c>
      <c r="I880" s="236" t="s">
        <v>1853</v>
      </c>
      <c r="J880" s="52" t="b">
        <f>IF(OR(INDEX(OHZ_HAZ_UNITTYPE,123,1)&lt;&gt;"",),IF(OR(INDEX(OHZ_HAZ_LOCATION,123,1)="",INDEX(OHZ_HAZ_AMOUNT,123,1)="",),FALSE,TRUE),TRUE)</f>
        <v>1</v>
      </c>
      <c r="K880" s="52" t="str">
        <f t="shared" si="28"/>
        <v>Row 123 - For a ‘Transport unit’ both ‘Location on board’ and ‘Amount’ are required</v>
      </c>
      <c r="L880" s="236" t="s">
        <v>1853</v>
      </c>
    </row>
    <row r="881" spans="7:12">
      <c r="G881" s="250" t="b">
        <f>IF(OR(INDEX(IHZ_HAZ_UNITTYPE,124,1)&lt;&gt;"",),IF(OR(INDEX(IHZ_HAZ_LOCATION,124,1)="",INDEX(IHZ_HAZ_AMOUNT,124,1)="",),FALSE,TRUE),TRUE)</f>
        <v>1</v>
      </c>
      <c r="H881" s="52" t="str">
        <f t="shared" si="27"/>
        <v>Row 124 - For a ‘Transport unit’ both ‘Location on board’ and ‘Amount’ are required</v>
      </c>
      <c r="I881" s="236" t="s">
        <v>1853</v>
      </c>
      <c r="J881" s="52" t="b">
        <f>IF(OR(INDEX(OHZ_HAZ_UNITTYPE,124,1)&lt;&gt;"",),IF(OR(INDEX(OHZ_HAZ_LOCATION,124,1)="",INDEX(OHZ_HAZ_AMOUNT,124,1)="",),FALSE,TRUE),TRUE)</f>
        <v>1</v>
      </c>
      <c r="K881" s="52" t="str">
        <f t="shared" si="28"/>
        <v>Row 124 - For a ‘Transport unit’ both ‘Location on board’ and ‘Amount’ are required</v>
      </c>
      <c r="L881" s="236" t="s">
        <v>1853</v>
      </c>
    </row>
    <row r="882" spans="7:12">
      <c r="G882" s="250" t="b">
        <f>IF(OR(INDEX(IHZ_HAZ_UNITTYPE,125,1)&lt;&gt;"",),IF(OR(INDEX(IHZ_HAZ_LOCATION,125,1)="",INDEX(IHZ_HAZ_AMOUNT,125,1)="",),FALSE,TRUE),TRUE)</f>
        <v>1</v>
      </c>
      <c r="H882" s="52" t="str">
        <f t="shared" si="27"/>
        <v>Row 125 - For a ‘Transport unit’ both ‘Location on board’ and ‘Amount’ are required</v>
      </c>
      <c r="I882" s="236" t="s">
        <v>1853</v>
      </c>
      <c r="J882" s="52" t="b">
        <f>IF(OR(INDEX(OHZ_HAZ_UNITTYPE,125,1)&lt;&gt;"",),IF(OR(INDEX(OHZ_HAZ_LOCATION,125,1)="",INDEX(OHZ_HAZ_AMOUNT,125,1)="",),FALSE,TRUE),TRUE)</f>
        <v>1</v>
      </c>
      <c r="K882" s="52" t="str">
        <f t="shared" si="28"/>
        <v>Row 125 - For a ‘Transport unit’ both ‘Location on board’ and ‘Amount’ are required</v>
      </c>
      <c r="L882" s="236" t="s">
        <v>1853</v>
      </c>
    </row>
    <row r="883" spans="7:12">
      <c r="G883" s="250" t="b">
        <f>IF(OR(INDEX(IHZ_HAZ_UNITTYPE,126,1)&lt;&gt;"",),IF(OR(INDEX(IHZ_HAZ_LOCATION,126,1)="",INDEX(IHZ_HAZ_AMOUNT,126,1)="",),FALSE,TRUE),TRUE)</f>
        <v>1</v>
      </c>
      <c r="H883" s="52" t="str">
        <f t="shared" si="27"/>
        <v>Row 126 - For a ‘Transport unit’ both ‘Location on board’ and ‘Amount’ are required</v>
      </c>
      <c r="I883" s="236" t="s">
        <v>1853</v>
      </c>
      <c r="J883" s="52" t="b">
        <f>IF(OR(INDEX(OHZ_HAZ_UNITTYPE,126,1)&lt;&gt;"",),IF(OR(INDEX(OHZ_HAZ_LOCATION,126,1)="",INDEX(OHZ_HAZ_AMOUNT,126,1)="",),FALSE,TRUE),TRUE)</f>
        <v>1</v>
      </c>
      <c r="K883" s="52" t="str">
        <f t="shared" si="28"/>
        <v>Row 126 - For a ‘Transport unit’ both ‘Location on board’ and ‘Amount’ are required</v>
      </c>
      <c r="L883" s="236" t="s">
        <v>1853</v>
      </c>
    </row>
    <row r="884" spans="7:12">
      <c r="G884" s="250" t="b">
        <f>IF(OR(INDEX(IHZ_HAZ_UNITTYPE,127,1)&lt;&gt;"",),IF(OR(INDEX(IHZ_HAZ_LOCATION,127,1)="",INDEX(IHZ_HAZ_AMOUNT,127,1)="",),FALSE,TRUE),TRUE)</f>
        <v>1</v>
      </c>
      <c r="H884" s="52" t="str">
        <f t="shared" si="27"/>
        <v>Row 127 - For a ‘Transport unit’ both ‘Location on board’ and ‘Amount’ are required</v>
      </c>
      <c r="I884" s="236" t="s">
        <v>1853</v>
      </c>
      <c r="J884" s="52" t="b">
        <f>IF(OR(INDEX(OHZ_HAZ_UNITTYPE,127,1)&lt;&gt;"",),IF(OR(INDEX(OHZ_HAZ_LOCATION,127,1)="",INDEX(OHZ_HAZ_AMOUNT,127,1)="",),FALSE,TRUE),TRUE)</f>
        <v>1</v>
      </c>
      <c r="K884" s="52" t="str">
        <f t="shared" si="28"/>
        <v>Row 127 - For a ‘Transport unit’ both ‘Location on board’ and ‘Amount’ are required</v>
      </c>
      <c r="L884" s="236" t="s">
        <v>1853</v>
      </c>
    </row>
    <row r="885" spans="7:12">
      <c r="G885" s="250" t="b">
        <f>IF(OR(INDEX(IHZ_HAZ_UNITTYPE,128,1)&lt;&gt;"",),IF(OR(INDEX(IHZ_HAZ_LOCATION,128,1)="",INDEX(IHZ_HAZ_AMOUNT,128,1)="",),FALSE,TRUE),TRUE)</f>
        <v>1</v>
      </c>
      <c r="H885" s="52" t="str">
        <f t="shared" si="27"/>
        <v>Row 128 - For a ‘Transport unit’ both ‘Location on board’ and ‘Amount’ are required</v>
      </c>
      <c r="I885" s="236" t="s">
        <v>1853</v>
      </c>
      <c r="J885" s="52" t="b">
        <f>IF(OR(INDEX(OHZ_HAZ_UNITTYPE,128,1)&lt;&gt;"",),IF(OR(INDEX(OHZ_HAZ_LOCATION,128,1)="",INDEX(OHZ_HAZ_AMOUNT,128,1)="",),FALSE,TRUE),TRUE)</f>
        <v>1</v>
      </c>
      <c r="K885" s="52" t="str">
        <f t="shared" si="28"/>
        <v>Row 128 - For a ‘Transport unit’ both ‘Location on board’ and ‘Amount’ are required</v>
      </c>
      <c r="L885" s="236" t="s">
        <v>1853</v>
      </c>
    </row>
    <row r="886" spans="7:12">
      <c r="G886" s="250" t="b">
        <f>IF(OR(INDEX(IHZ_HAZ_UNITTYPE,129,1)&lt;&gt;"",),IF(OR(INDEX(IHZ_HAZ_LOCATION,129,1)="",INDEX(IHZ_HAZ_AMOUNT,129,1)="",),FALSE,TRUE),TRUE)</f>
        <v>1</v>
      </c>
      <c r="H886" s="52" t="str">
        <f t="shared" si="27"/>
        <v>Row 129 - For a ‘Transport unit’ both ‘Location on board’ and ‘Amount’ are required</v>
      </c>
      <c r="I886" s="236" t="s">
        <v>1853</v>
      </c>
      <c r="J886" s="52" t="b">
        <f>IF(OR(INDEX(OHZ_HAZ_UNITTYPE,129,1)&lt;&gt;"",),IF(OR(INDEX(OHZ_HAZ_LOCATION,129,1)="",INDEX(OHZ_HAZ_AMOUNT,129,1)="",),FALSE,TRUE),TRUE)</f>
        <v>1</v>
      </c>
      <c r="K886" s="52" t="str">
        <f t="shared" si="28"/>
        <v>Row 129 - For a ‘Transport unit’ both ‘Location on board’ and ‘Amount’ are required</v>
      </c>
      <c r="L886" s="236" t="s">
        <v>1853</v>
      </c>
    </row>
    <row r="887" spans="7:12">
      <c r="G887" s="250" t="b">
        <f>IF(OR(INDEX(IHZ_HAZ_UNITTYPE,130,1)&lt;&gt;"",),IF(OR(INDEX(IHZ_HAZ_LOCATION,130,1)="",INDEX(IHZ_HAZ_AMOUNT,130,1)="",),FALSE,TRUE),TRUE)</f>
        <v>1</v>
      </c>
      <c r="H887" s="52" t="str">
        <f t="shared" ref="H887:H950" si="29">T130&amp;$V$4</f>
        <v>Row 130 - For a ‘Transport unit’ both ‘Location on board’ and ‘Amount’ are required</v>
      </c>
      <c r="I887" s="236" t="s">
        <v>1853</v>
      </c>
      <c r="J887" s="52" t="b">
        <f>IF(OR(INDEX(OHZ_HAZ_UNITTYPE,130,1)&lt;&gt;"",),IF(OR(INDEX(OHZ_HAZ_LOCATION,130,1)="",INDEX(OHZ_HAZ_AMOUNT,130,1)="",),FALSE,TRUE),TRUE)</f>
        <v>1</v>
      </c>
      <c r="K887" s="52" t="str">
        <f t="shared" ref="K887:K950" si="30">T130&amp;$V$4</f>
        <v>Row 130 - For a ‘Transport unit’ both ‘Location on board’ and ‘Amount’ are required</v>
      </c>
      <c r="L887" s="236" t="s">
        <v>1853</v>
      </c>
    </row>
    <row r="888" spans="7:12">
      <c r="G888" s="250" t="b">
        <f>IF(OR(INDEX(IHZ_HAZ_UNITTYPE,131,1)&lt;&gt;"",),IF(OR(INDEX(IHZ_HAZ_LOCATION,131,1)="",INDEX(IHZ_HAZ_AMOUNT,131,1)="",),FALSE,TRUE),TRUE)</f>
        <v>1</v>
      </c>
      <c r="H888" s="52" t="str">
        <f t="shared" si="29"/>
        <v>Row 131 - For a ‘Transport unit’ both ‘Location on board’ and ‘Amount’ are required</v>
      </c>
      <c r="I888" s="236" t="s">
        <v>1853</v>
      </c>
      <c r="J888" s="52" t="b">
        <f>IF(OR(INDEX(OHZ_HAZ_UNITTYPE,131,1)&lt;&gt;"",),IF(OR(INDEX(OHZ_HAZ_LOCATION,131,1)="",INDEX(OHZ_HAZ_AMOUNT,131,1)="",),FALSE,TRUE),TRUE)</f>
        <v>1</v>
      </c>
      <c r="K888" s="52" t="str">
        <f t="shared" si="30"/>
        <v>Row 131 - For a ‘Transport unit’ both ‘Location on board’ and ‘Amount’ are required</v>
      </c>
      <c r="L888" s="236" t="s">
        <v>1853</v>
      </c>
    </row>
    <row r="889" spans="7:12">
      <c r="G889" s="250" t="b">
        <f>IF(OR(INDEX(IHZ_HAZ_UNITTYPE,132,1)&lt;&gt;"",),IF(OR(INDEX(IHZ_HAZ_LOCATION,132,1)="",INDEX(IHZ_HAZ_AMOUNT,132,1)="",),FALSE,TRUE),TRUE)</f>
        <v>1</v>
      </c>
      <c r="H889" s="52" t="str">
        <f t="shared" si="29"/>
        <v>Row 132 - For a ‘Transport unit’ both ‘Location on board’ and ‘Amount’ are required</v>
      </c>
      <c r="I889" s="236" t="s">
        <v>1853</v>
      </c>
      <c r="J889" s="52" t="b">
        <f>IF(OR(INDEX(OHZ_HAZ_UNITTYPE,132,1)&lt;&gt;"",),IF(OR(INDEX(OHZ_HAZ_LOCATION,132,1)="",INDEX(OHZ_HAZ_AMOUNT,132,1)="",),FALSE,TRUE),TRUE)</f>
        <v>1</v>
      </c>
      <c r="K889" s="52" t="str">
        <f t="shared" si="30"/>
        <v>Row 132 - For a ‘Transport unit’ both ‘Location on board’ and ‘Amount’ are required</v>
      </c>
      <c r="L889" s="236" t="s">
        <v>1853</v>
      </c>
    </row>
    <row r="890" spans="7:12">
      <c r="G890" s="250" t="b">
        <f>IF(OR(INDEX(IHZ_HAZ_UNITTYPE,133,1)&lt;&gt;"",),IF(OR(INDEX(IHZ_HAZ_LOCATION,133,1)="",INDEX(IHZ_HAZ_AMOUNT,133,1)="",),FALSE,TRUE),TRUE)</f>
        <v>1</v>
      </c>
      <c r="H890" s="52" t="str">
        <f t="shared" si="29"/>
        <v>Row 133 - For a ‘Transport unit’ both ‘Location on board’ and ‘Amount’ are required</v>
      </c>
      <c r="I890" s="236" t="s">
        <v>1853</v>
      </c>
      <c r="J890" s="52" t="b">
        <f>IF(OR(INDEX(OHZ_HAZ_UNITTYPE,133,1)&lt;&gt;"",),IF(OR(INDEX(OHZ_HAZ_LOCATION,133,1)="",INDEX(OHZ_HAZ_AMOUNT,133,1)="",),FALSE,TRUE),TRUE)</f>
        <v>1</v>
      </c>
      <c r="K890" s="52" t="str">
        <f t="shared" si="30"/>
        <v>Row 133 - For a ‘Transport unit’ both ‘Location on board’ and ‘Amount’ are required</v>
      </c>
      <c r="L890" s="236" t="s">
        <v>1853</v>
      </c>
    </row>
    <row r="891" spans="7:12">
      <c r="G891" s="250" t="b">
        <f>IF(OR(INDEX(IHZ_HAZ_UNITTYPE,134,1)&lt;&gt;"",),IF(OR(INDEX(IHZ_HAZ_LOCATION,134,1)="",INDEX(IHZ_HAZ_AMOUNT,134,1)="",),FALSE,TRUE),TRUE)</f>
        <v>1</v>
      </c>
      <c r="H891" s="52" t="str">
        <f t="shared" si="29"/>
        <v>Row 134 - For a ‘Transport unit’ both ‘Location on board’ and ‘Amount’ are required</v>
      </c>
      <c r="I891" s="236" t="s">
        <v>1853</v>
      </c>
      <c r="J891" s="52" t="b">
        <f>IF(OR(INDEX(OHZ_HAZ_UNITTYPE,134,1)&lt;&gt;"",),IF(OR(INDEX(OHZ_HAZ_LOCATION,134,1)="",INDEX(OHZ_HAZ_AMOUNT,134,1)="",),FALSE,TRUE),TRUE)</f>
        <v>1</v>
      </c>
      <c r="K891" s="52" t="str">
        <f t="shared" si="30"/>
        <v>Row 134 - For a ‘Transport unit’ both ‘Location on board’ and ‘Amount’ are required</v>
      </c>
      <c r="L891" s="236" t="s">
        <v>1853</v>
      </c>
    </row>
    <row r="892" spans="7:12">
      <c r="G892" s="250" t="b">
        <f>IF(OR(INDEX(IHZ_HAZ_UNITTYPE,135,1)&lt;&gt;"",),IF(OR(INDEX(IHZ_HAZ_LOCATION,135,1)="",INDEX(IHZ_HAZ_AMOUNT,135,1)="",),FALSE,TRUE),TRUE)</f>
        <v>1</v>
      </c>
      <c r="H892" s="52" t="str">
        <f t="shared" si="29"/>
        <v>Row 135 - For a ‘Transport unit’ both ‘Location on board’ and ‘Amount’ are required</v>
      </c>
      <c r="I892" s="236" t="s">
        <v>1853</v>
      </c>
      <c r="J892" s="52" t="b">
        <f>IF(OR(INDEX(OHZ_HAZ_UNITTYPE,135,1)&lt;&gt;"",),IF(OR(INDEX(OHZ_HAZ_LOCATION,135,1)="",INDEX(OHZ_HAZ_AMOUNT,135,1)="",),FALSE,TRUE),TRUE)</f>
        <v>1</v>
      </c>
      <c r="K892" s="52" t="str">
        <f t="shared" si="30"/>
        <v>Row 135 - For a ‘Transport unit’ both ‘Location on board’ and ‘Amount’ are required</v>
      </c>
      <c r="L892" s="236" t="s">
        <v>1853</v>
      </c>
    </row>
    <row r="893" spans="7:12">
      <c r="G893" s="250" t="b">
        <f>IF(OR(INDEX(IHZ_HAZ_UNITTYPE,136,1)&lt;&gt;"",),IF(OR(INDEX(IHZ_HAZ_LOCATION,136,1)="",INDEX(IHZ_HAZ_AMOUNT,136,1)="",),FALSE,TRUE),TRUE)</f>
        <v>1</v>
      </c>
      <c r="H893" s="52" t="str">
        <f t="shared" si="29"/>
        <v>Row 136 - For a ‘Transport unit’ both ‘Location on board’ and ‘Amount’ are required</v>
      </c>
      <c r="I893" s="236" t="s">
        <v>1853</v>
      </c>
      <c r="J893" s="52" t="b">
        <f>IF(OR(INDEX(OHZ_HAZ_UNITTYPE,136,1)&lt;&gt;"",),IF(OR(INDEX(OHZ_HAZ_LOCATION,136,1)="",INDEX(OHZ_HAZ_AMOUNT,136,1)="",),FALSE,TRUE),TRUE)</f>
        <v>1</v>
      </c>
      <c r="K893" s="52" t="str">
        <f t="shared" si="30"/>
        <v>Row 136 - For a ‘Transport unit’ both ‘Location on board’ and ‘Amount’ are required</v>
      </c>
      <c r="L893" s="236" t="s">
        <v>1853</v>
      </c>
    </row>
    <row r="894" spans="7:12">
      <c r="G894" s="250" t="b">
        <f>IF(OR(INDEX(IHZ_HAZ_UNITTYPE,137,1)&lt;&gt;"",),IF(OR(INDEX(IHZ_HAZ_LOCATION,137,1)="",INDEX(IHZ_HAZ_AMOUNT,137,1)="",),FALSE,TRUE),TRUE)</f>
        <v>1</v>
      </c>
      <c r="H894" s="52" t="str">
        <f t="shared" si="29"/>
        <v>Row 137 - For a ‘Transport unit’ both ‘Location on board’ and ‘Amount’ are required</v>
      </c>
      <c r="I894" s="236" t="s">
        <v>1853</v>
      </c>
      <c r="J894" s="52" t="b">
        <f>IF(OR(INDEX(OHZ_HAZ_UNITTYPE,137,1)&lt;&gt;"",),IF(OR(INDEX(OHZ_HAZ_LOCATION,137,1)="",INDEX(OHZ_HAZ_AMOUNT,137,1)="",),FALSE,TRUE),TRUE)</f>
        <v>1</v>
      </c>
      <c r="K894" s="52" t="str">
        <f t="shared" si="30"/>
        <v>Row 137 - For a ‘Transport unit’ both ‘Location on board’ and ‘Amount’ are required</v>
      </c>
      <c r="L894" s="236" t="s">
        <v>1853</v>
      </c>
    </row>
    <row r="895" spans="7:12">
      <c r="G895" s="250" t="b">
        <f>IF(OR(INDEX(IHZ_HAZ_UNITTYPE,138,1)&lt;&gt;"",),IF(OR(INDEX(IHZ_HAZ_LOCATION,138,1)="",INDEX(IHZ_HAZ_AMOUNT,138,1)="",),FALSE,TRUE),TRUE)</f>
        <v>1</v>
      </c>
      <c r="H895" s="52" t="str">
        <f t="shared" si="29"/>
        <v>Row 138 - For a ‘Transport unit’ both ‘Location on board’ and ‘Amount’ are required</v>
      </c>
      <c r="I895" s="236" t="s">
        <v>1853</v>
      </c>
      <c r="J895" s="52" t="b">
        <f>IF(OR(INDEX(OHZ_HAZ_UNITTYPE,138,1)&lt;&gt;"",),IF(OR(INDEX(OHZ_HAZ_LOCATION,138,1)="",INDEX(OHZ_HAZ_AMOUNT,138,1)="",),FALSE,TRUE),TRUE)</f>
        <v>1</v>
      </c>
      <c r="K895" s="52" t="str">
        <f t="shared" si="30"/>
        <v>Row 138 - For a ‘Transport unit’ both ‘Location on board’ and ‘Amount’ are required</v>
      </c>
      <c r="L895" s="236" t="s">
        <v>1853</v>
      </c>
    </row>
    <row r="896" spans="7:12">
      <c r="G896" s="250" t="b">
        <f>IF(OR(INDEX(IHZ_HAZ_UNITTYPE,139,1)&lt;&gt;"",),IF(OR(INDEX(IHZ_HAZ_LOCATION,139,1)="",INDEX(IHZ_HAZ_AMOUNT,139,1)="",),FALSE,TRUE),TRUE)</f>
        <v>1</v>
      </c>
      <c r="H896" s="52" t="str">
        <f t="shared" si="29"/>
        <v>Row 139 - For a ‘Transport unit’ both ‘Location on board’ and ‘Amount’ are required</v>
      </c>
      <c r="I896" s="236" t="s">
        <v>1853</v>
      </c>
      <c r="J896" s="52" t="b">
        <f>IF(OR(INDEX(OHZ_HAZ_UNITTYPE,139,1)&lt;&gt;"",),IF(OR(INDEX(OHZ_HAZ_LOCATION,139,1)="",INDEX(OHZ_HAZ_AMOUNT,139,1)="",),FALSE,TRUE),TRUE)</f>
        <v>1</v>
      </c>
      <c r="K896" s="52" t="str">
        <f t="shared" si="30"/>
        <v>Row 139 - For a ‘Transport unit’ both ‘Location on board’ and ‘Amount’ are required</v>
      </c>
      <c r="L896" s="236" t="s">
        <v>1853</v>
      </c>
    </row>
    <row r="897" spans="7:12">
      <c r="G897" s="250" t="b">
        <f>IF(OR(INDEX(IHZ_HAZ_UNITTYPE,140,1)&lt;&gt;"",),IF(OR(INDEX(IHZ_HAZ_LOCATION,140,1)="",INDEX(IHZ_HAZ_AMOUNT,140,1)="",),FALSE,TRUE),TRUE)</f>
        <v>1</v>
      </c>
      <c r="H897" s="52" t="str">
        <f t="shared" si="29"/>
        <v>Row 140 - For a ‘Transport unit’ both ‘Location on board’ and ‘Amount’ are required</v>
      </c>
      <c r="I897" s="236" t="s">
        <v>1853</v>
      </c>
      <c r="J897" s="52" t="b">
        <f>IF(OR(INDEX(OHZ_HAZ_UNITTYPE,140,1)&lt;&gt;"",),IF(OR(INDEX(OHZ_HAZ_LOCATION,140,1)="",INDEX(OHZ_HAZ_AMOUNT,140,1)="",),FALSE,TRUE),TRUE)</f>
        <v>1</v>
      </c>
      <c r="K897" s="52" t="str">
        <f t="shared" si="30"/>
        <v>Row 140 - For a ‘Transport unit’ both ‘Location on board’ and ‘Amount’ are required</v>
      </c>
      <c r="L897" s="236" t="s">
        <v>1853</v>
      </c>
    </row>
    <row r="898" spans="7:12">
      <c r="G898" s="250" t="b">
        <f>IF(OR(INDEX(IHZ_HAZ_UNITTYPE,141,1)&lt;&gt;"",),IF(OR(INDEX(IHZ_HAZ_LOCATION,141,1)="",INDEX(IHZ_HAZ_AMOUNT,141,1)="",),FALSE,TRUE),TRUE)</f>
        <v>1</v>
      </c>
      <c r="H898" s="52" t="str">
        <f t="shared" si="29"/>
        <v>Row 141 - For a ‘Transport unit’ both ‘Location on board’ and ‘Amount’ are required</v>
      </c>
      <c r="I898" s="236" t="s">
        <v>1853</v>
      </c>
      <c r="J898" s="52" t="b">
        <f>IF(OR(INDEX(OHZ_HAZ_UNITTYPE,141,1)&lt;&gt;"",),IF(OR(INDEX(OHZ_HAZ_LOCATION,141,1)="",INDEX(OHZ_HAZ_AMOUNT,141,1)="",),FALSE,TRUE),TRUE)</f>
        <v>1</v>
      </c>
      <c r="K898" s="52" t="str">
        <f t="shared" si="30"/>
        <v>Row 141 - For a ‘Transport unit’ both ‘Location on board’ and ‘Amount’ are required</v>
      </c>
      <c r="L898" s="236" t="s">
        <v>1853</v>
      </c>
    </row>
    <row r="899" spans="7:12">
      <c r="G899" s="250" t="b">
        <f>IF(OR(INDEX(IHZ_HAZ_UNITTYPE,142,1)&lt;&gt;"",),IF(OR(INDEX(IHZ_HAZ_LOCATION,142,1)="",INDEX(IHZ_HAZ_AMOUNT,142,1)="",),FALSE,TRUE),TRUE)</f>
        <v>1</v>
      </c>
      <c r="H899" s="52" t="str">
        <f t="shared" si="29"/>
        <v>Row 142 - For a ‘Transport unit’ both ‘Location on board’ and ‘Amount’ are required</v>
      </c>
      <c r="I899" s="236" t="s">
        <v>1853</v>
      </c>
      <c r="J899" s="52" t="b">
        <f>IF(OR(INDEX(OHZ_HAZ_UNITTYPE,142,1)&lt;&gt;"",),IF(OR(INDEX(OHZ_HAZ_LOCATION,142,1)="",INDEX(OHZ_HAZ_AMOUNT,142,1)="",),FALSE,TRUE),TRUE)</f>
        <v>1</v>
      </c>
      <c r="K899" s="52" t="str">
        <f t="shared" si="30"/>
        <v>Row 142 - For a ‘Transport unit’ both ‘Location on board’ and ‘Amount’ are required</v>
      </c>
      <c r="L899" s="236" t="s">
        <v>1853</v>
      </c>
    </row>
    <row r="900" spans="7:12">
      <c r="G900" s="250" t="b">
        <f>IF(OR(INDEX(IHZ_HAZ_UNITTYPE,143,1)&lt;&gt;"",),IF(OR(INDEX(IHZ_HAZ_LOCATION,143,1)="",INDEX(IHZ_HAZ_AMOUNT,143,1)="",),FALSE,TRUE),TRUE)</f>
        <v>1</v>
      </c>
      <c r="H900" s="52" t="str">
        <f t="shared" si="29"/>
        <v>Row 143 - For a ‘Transport unit’ both ‘Location on board’ and ‘Amount’ are required</v>
      </c>
      <c r="I900" s="236" t="s">
        <v>1853</v>
      </c>
      <c r="J900" s="52" t="b">
        <f>IF(OR(INDEX(OHZ_HAZ_UNITTYPE,143,1)&lt;&gt;"",),IF(OR(INDEX(OHZ_HAZ_LOCATION,143,1)="",INDEX(OHZ_HAZ_AMOUNT,143,1)="",),FALSE,TRUE),TRUE)</f>
        <v>1</v>
      </c>
      <c r="K900" s="52" t="str">
        <f t="shared" si="30"/>
        <v>Row 143 - For a ‘Transport unit’ both ‘Location on board’ and ‘Amount’ are required</v>
      </c>
      <c r="L900" s="236" t="s">
        <v>1853</v>
      </c>
    </row>
    <row r="901" spans="7:12">
      <c r="G901" s="250" t="b">
        <f>IF(OR(INDEX(IHZ_HAZ_UNITTYPE,144,1)&lt;&gt;"",),IF(OR(INDEX(IHZ_HAZ_LOCATION,144,1)="",INDEX(IHZ_HAZ_AMOUNT,144,1)="",),FALSE,TRUE),TRUE)</f>
        <v>1</v>
      </c>
      <c r="H901" s="52" t="str">
        <f t="shared" si="29"/>
        <v>Row 144 - For a ‘Transport unit’ both ‘Location on board’ and ‘Amount’ are required</v>
      </c>
      <c r="I901" s="236" t="s">
        <v>1853</v>
      </c>
      <c r="J901" s="52" t="b">
        <f>IF(OR(INDEX(OHZ_HAZ_UNITTYPE,144,1)&lt;&gt;"",),IF(OR(INDEX(OHZ_HAZ_LOCATION,144,1)="",INDEX(OHZ_HAZ_AMOUNT,144,1)="",),FALSE,TRUE),TRUE)</f>
        <v>1</v>
      </c>
      <c r="K901" s="52" t="str">
        <f t="shared" si="30"/>
        <v>Row 144 - For a ‘Transport unit’ both ‘Location on board’ and ‘Amount’ are required</v>
      </c>
      <c r="L901" s="236" t="s">
        <v>1853</v>
      </c>
    </row>
    <row r="902" spans="7:12">
      <c r="G902" s="250" t="b">
        <f>IF(OR(INDEX(IHZ_HAZ_UNITTYPE,145,1)&lt;&gt;"",),IF(OR(INDEX(IHZ_HAZ_LOCATION,145,1)="",INDEX(IHZ_HAZ_AMOUNT,145,1)="",),FALSE,TRUE),TRUE)</f>
        <v>1</v>
      </c>
      <c r="H902" s="52" t="str">
        <f t="shared" si="29"/>
        <v>Row 145 - For a ‘Transport unit’ both ‘Location on board’ and ‘Amount’ are required</v>
      </c>
      <c r="I902" s="236" t="s">
        <v>1853</v>
      </c>
      <c r="J902" s="52" t="b">
        <f>IF(OR(INDEX(OHZ_HAZ_UNITTYPE,145,1)&lt;&gt;"",),IF(OR(INDEX(OHZ_HAZ_LOCATION,145,1)="",INDEX(OHZ_HAZ_AMOUNT,145,1)="",),FALSE,TRUE),TRUE)</f>
        <v>1</v>
      </c>
      <c r="K902" s="52" t="str">
        <f t="shared" si="30"/>
        <v>Row 145 - For a ‘Transport unit’ both ‘Location on board’ and ‘Amount’ are required</v>
      </c>
      <c r="L902" s="236" t="s">
        <v>1853</v>
      </c>
    </row>
    <row r="903" spans="7:12">
      <c r="G903" s="250" t="b">
        <f>IF(OR(INDEX(IHZ_HAZ_UNITTYPE,146,1)&lt;&gt;"",),IF(OR(INDEX(IHZ_HAZ_LOCATION,146,1)="",INDEX(IHZ_HAZ_AMOUNT,146,1)="",),FALSE,TRUE),TRUE)</f>
        <v>1</v>
      </c>
      <c r="H903" s="52" t="str">
        <f t="shared" si="29"/>
        <v>Row 146 - For a ‘Transport unit’ both ‘Location on board’ and ‘Amount’ are required</v>
      </c>
      <c r="I903" s="236" t="s">
        <v>1853</v>
      </c>
      <c r="J903" s="52" t="b">
        <f>IF(OR(INDEX(OHZ_HAZ_UNITTYPE,146,1)&lt;&gt;"",),IF(OR(INDEX(OHZ_HAZ_LOCATION,146,1)="",INDEX(OHZ_HAZ_AMOUNT,146,1)="",),FALSE,TRUE),TRUE)</f>
        <v>1</v>
      </c>
      <c r="K903" s="52" t="str">
        <f t="shared" si="30"/>
        <v>Row 146 - For a ‘Transport unit’ both ‘Location on board’ and ‘Amount’ are required</v>
      </c>
      <c r="L903" s="236" t="s">
        <v>1853</v>
      </c>
    </row>
    <row r="904" spans="7:12">
      <c r="G904" s="250" t="b">
        <f>IF(OR(INDEX(IHZ_HAZ_UNITTYPE,147,1)&lt;&gt;"",),IF(OR(INDEX(IHZ_HAZ_LOCATION,147,1)="",INDEX(IHZ_HAZ_AMOUNT,147,1)="",),FALSE,TRUE),TRUE)</f>
        <v>1</v>
      </c>
      <c r="H904" s="52" t="str">
        <f t="shared" si="29"/>
        <v>Row 147 - For a ‘Transport unit’ both ‘Location on board’ and ‘Amount’ are required</v>
      </c>
      <c r="I904" s="236" t="s">
        <v>1853</v>
      </c>
      <c r="J904" s="52" t="b">
        <f>IF(OR(INDEX(OHZ_HAZ_UNITTYPE,147,1)&lt;&gt;"",),IF(OR(INDEX(OHZ_HAZ_LOCATION,147,1)="",INDEX(OHZ_HAZ_AMOUNT,147,1)="",),FALSE,TRUE),TRUE)</f>
        <v>1</v>
      </c>
      <c r="K904" s="52" t="str">
        <f t="shared" si="30"/>
        <v>Row 147 - For a ‘Transport unit’ both ‘Location on board’ and ‘Amount’ are required</v>
      </c>
      <c r="L904" s="236" t="s">
        <v>1853</v>
      </c>
    </row>
    <row r="905" spans="7:12">
      <c r="G905" s="250" t="b">
        <f>IF(OR(INDEX(IHZ_HAZ_UNITTYPE,148,1)&lt;&gt;"",),IF(OR(INDEX(IHZ_HAZ_LOCATION,148,1)="",INDEX(IHZ_HAZ_AMOUNT,148,1)="",),FALSE,TRUE),TRUE)</f>
        <v>1</v>
      </c>
      <c r="H905" s="52" t="str">
        <f t="shared" si="29"/>
        <v>Row 148 - For a ‘Transport unit’ both ‘Location on board’ and ‘Amount’ are required</v>
      </c>
      <c r="I905" s="236" t="s">
        <v>1853</v>
      </c>
      <c r="J905" s="52" t="b">
        <f>IF(OR(INDEX(OHZ_HAZ_UNITTYPE,148,1)&lt;&gt;"",),IF(OR(INDEX(OHZ_HAZ_LOCATION,148,1)="",INDEX(OHZ_HAZ_AMOUNT,148,1)="",),FALSE,TRUE),TRUE)</f>
        <v>1</v>
      </c>
      <c r="K905" s="52" t="str">
        <f t="shared" si="30"/>
        <v>Row 148 - For a ‘Transport unit’ both ‘Location on board’ and ‘Amount’ are required</v>
      </c>
      <c r="L905" s="236" t="s">
        <v>1853</v>
      </c>
    </row>
    <row r="906" spans="7:12">
      <c r="G906" s="250" t="b">
        <f>IF(OR(INDEX(IHZ_HAZ_UNITTYPE,149,1)&lt;&gt;"",),IF(OR(INDEX(IHZ_HAZ_LOCATION,149,1)="",INDEX(IHZ_HAZ_AMOUNT,149,1)="",),FALSE,TRUE),TRUE)</f>
        <v>1</v>
      </c>
      <c r="H906" s="52" t="str">
        <f t="shared" si="29"/>
        <v>Row 149 - For a ‘Transport unit’ both ‘Location on board’ and ‘Amount’ are required</v>
      </c>
      <c r="I906" s="236" t="s">
        <v>1853</v>
      </c>
      <c r="J906" s="52" t="b">
        <f>IF(OR(INDEX(OHZ_HAZ_UNITTYPE,149,1)&lt;&gt;"",),IF(OR(INDEX(OHZ_HAZ_LOCATION,149,1)="",INDEX(OHZ_HAZ_AMOUNT,149,1)="",),FALSE,TRUE),TRUE)</f>
        <v>1</v>
      </c>
      <c r="K906" s="52" t="str">
        <f t="shared" si="30"/>
        <v>Row 149 - For a ‘Transport unit’ both ‘Location on board’ and ‘Amount’ are required</v>
      </c>
      <c r="L906" s="236" t="s">
        <v>1853</v>
      </c>
    </row>
    <row r="907" spans="7:12">
      <c r="G907" s="250" t="b">
        <f>IF(OR(INDEX(IHZ_HAZ_UNITTYPE,150,1)&lt;&gt;"",),IF(OR(INDEX(IHZ_HAZ_LOCATION,150,1)="",INDEX(IHZ_HAZ_AMOUNT,150,1)="",),FALSE,TRUE),TRUE)</f>
        <v>1</v>
      </c>
      <c r="H907" s="52" t="str">
        <f t="shared" si="29"/>
        <v>Row 150 - For a ‘Transport unit’ both ‘Location on board’ and ‘Amount’ are required</v>
      </c>
      <c r="I907" s="236" t="s">
        <v>1853</v>
      </c>
      <c r="J907" s="52" t="b">
        <f>IF(OR(INDEX(OHZ_HAZ_UNITTYPE,150,1)&lt;&gt;"",),IF(OR(INDEX(OHZ_HAZ_LOCATION,150,1)="",INDEX(OHZ_HAZ_AMOUNT,150,1)="",),FALSE,TRUE),TRUE)</f>
        <v>1</v>
      </c>
      <c r="K907" s="52" t="str">
        <f t="shared" si="30"/>
        <v>Row 150 - For a ‘Transport unit’ both ‘Location on board’ and ‘Amount’ are required</v>
      </c>
      <c r="L907" s="236" t="s">
        <v>1853</v>
      </c>
    </row>
    <row r="908" spans="7:12">
      <c r="G908" s="250" t="b">
        <f>IF(OR(INDEX(IHZ_HAZ_UNITTYPE,151,1)&lt;&gt;"",),IF(OR(INDEX(IHZ_HAZ_LOCATION,151,1)="",INDEX(IHZ_HAZ_AMOUNT,151,1)="",),FALSE,TRUE),TRUE)</f>
        <v>1</v>
      </c>
      <c r="H908" s="52" t="str">
        <f t="shared" si="29"/>
        <v>Row 151 - For a ‘Transport unit’ both ‘Location on board’ and ‘Amount’ are required</v>
      </c>
      <c r="I908" s="236" t="s">
        <v>1853</v>
      </c>
      <c r="J908" s="52" t="b">
        <f>IF(OR(INDEX(OHZ_HAZ_UNITTYPE,151,1)&lt;&gt;"",),IF(OR(INDEX(OHZ_HAZ_LOCATION,151,1)="",INDEX(OHZ_HAZ_AMOUNT,151,1)="",),FALSE,TRUE),TRUE)</f>
        <v>1</v>
      </c>
      <c r="K908" s="52" t="str">
        <f t="shared" si="30"/>
        <v>Row 151 - For a ‘Transport unit’ both ‘Location on board’ and ‘Amount’ are required</v>
      </c>
      <c r="L908" s="236" t="s">
        <v>1853</v>
      </c>
    </row>
    <row r="909" spans="7:12">
      <c r="G909" s="250" t="b">
        <f>IF(OR(INDEX(IHZ_HAZ_UNITTYPE,152,1)&lt;&gt;"",),IF(OR(INDEX(IHZ_HAZ_LOCATION,152,1)="",INDEX(IHZ_HAZ_AMOUNT,152,1)="",),FALSE,TRUE),TRUE)</f>
        <v>1</v>
      </c>
      <c r="H909" s="52" t="str">
        <f t="shared" si="29"/>
        <v>Row 152 - For a ‘Transport unit’ both ‘Location on board’ and ‘Amount’ are required</v>
      </c>
      <c r="I909" s="236" t="s">
        <v>1853</v>
      </c>
      <c r="J909" s="52" t="b">
        <f>IF(OR(INDEX(OHZ_HAZ_UNITTYPE,152,1)&lt;&gt;"",),IF(OR(INDEX(OHZ_HAZ_LOCATION,152,1)="",INDEX(OHZ_HAZ_AMOUNT,152,1)="",),FALSE,TRUE),TRUE)</f>
        <v>1</v>
      </c>
      <c r="K909" s="52" t="str">
        <f t="shared" si="30"/>
        <v>Row 152 - For a ‘Transport unit’ both ‘Location on board’ and ‘Amount’ are required</v>
      </c>
      <c r="L909" s="236" t="s">
        <v>1853</v>
      </c>
    </row>
    <row r="910" spans="7:12">
      <c r="G910" s="250" t="b">
        <f>IF(OR(INDEX(IHZ_HAZ_UNITTYPE,153,1)&lt;&gt;"",),IF(OR(INDEX(IHZ_HAZ_LOCATION,153,1)="",INDEX(IHZ_HAZ_AMOUNT,153,1)="",),FALSE,TRUE),TRUE)</f>
        <v>1</v>
      </c>
      <c r="H910" s="52" t="str">
        <f t="shared" si="29"/>
        <v>Row 153 - For a ‘Transport unit’ both ‘Location on board’ and ‘Amount’ are required</v>
      </c>
      <c r="I910" s="236" t="s">
        <v>1853</v>
      </c>
      <c r="J910" s="52" t="b">
        <f>IF(OR(INDEX(OHZ_HAZ_UNITTYPE,153,1)&lt;&gt;"",),IF(OR(INDEX(OHZ_HAZ_LOCATION,153,1)="",INDEX(OHZ_HAZ_AMOUNT,153,1)="",),FALSE,TRUE),TRUE)</f>
        <v>1</v>
      </c>
      <c r="K910" s="52" t="str">
        <f t="shared" si="30"/>
        <v>Row 153 - For a ‘Transport unit’ both ‘Location on board’ and ‘Amount’ are required</v>
      </c>
      <c r="L910" s="236" t="s">
        <v>1853</v>
      </c>
    </row>
    <row r="911" spans="7:12">
      <c r="G911" s="250" t="b">
        <f>IF(OR(INDEX(IHZ_HAZ_UNITTYPE,154,1)&lt;&gt;"",),IF(OR(INDEX(IHZ_HAZ_LOCATION,154,1)="",INDEX(IHZ_HAZ_AMOUNT,154,1)="",),FALSE,TRUE),TRUE)</f>
        <v>1</v>
      </c>
      <c r="H911" s="52" t="str">
        <f t="shared" si="29"/>
        <v>Row 154 - For a ‘Transport unit’ both ‘Location on board’ and ‘Amount’ are required</v>
      </c>
      <c r="I911" s="236" t="s">
        <v>1853</v>
      </c>
      <c r="J911" s="52" t="b">
        <f>IF(OR(INDEX(OHZ_HAZ_UNITTYPE,154,1)&lt;&gt;"",),IF(OR(INDEX(OHZ_HAZ_LOCATION,154,1)="",INDEX(OHZ_HAZ_AMOUNT,154,1)="",),FALSE,TRUE),TRUE)</f>
        <v>1</v>
      </c>
      <c r="K911" s="52" t="str">
        <f t="shared" si="30"/>
        <v>Row 154 - For a ‘Transport unit’ both ‘Location on board’ and ‘Amount’ are required</v>
      </c>
      <c r="L911" s="236" t="s">
        <v>1853</v>
      </c>
    </row>
    <row r="912" spans="7:12">
      <c r="G912" s="250" t="b">
        <f>IF(OR(INDEX(IHZ_HAZ_UNITTYPE,155,1)&lt;&gt;"",),IF(OR(INDEX(IHZ_HAZ_LOCATION,155,1)="",INDEX(IHZ_HAZ_AMOUNT,155,1)="",),FALSE,TRUE),TRUE)</f>
        <v>1</v>
      </c>
      <c r="H912" s="52" t="str">
        <f t="shared" si="29"/>
        <v>Row 155 - For a ‘Transport unit’ both ‘Location on board’ and ‘Amount’ are required</v>
      </c>
      <c r="I912" s="236" t="s">
        <v>1853</v>
      </c>
      <c r="J912" s="52" t="b">
        <f>IF(OR(INDEX(OHZ_HAZ_UNITTYPE,155,1)&lt;&gt;"",),IF(OR(INDEX(OHZ_HAZ_LOCATION,155,1)="",INDEX(OHZ_HAZ_AMOUNT,155,1)="",),FALSE,TRUE),TRUE)</f>
        <v>1</v>
      </c>
      <c r="K912" s="52" t="str">
        <f t="shared" si="30"/>
        <v>Row 155 - For a ‘Transport unit’ both ‘Location on board’ and ‘Amount’ are required</v>
      </c>
      <c r="L912" s="236" t="s">
        <v>1853</v>
      </c>
    </row>
    <row r="913" spans="7:12">
      <c r="G913" s="250" t="b">
        <f>IF(OR(INDEX(IHZ_HAZ_UNITTYPE,156,1)&lt;&gt;"",),IF(OR(INDEX(IHZ_HAZ_LOCATION,156,1)="",INDEX(IHZ_HAZ_AMOUNT,156,1)="",),FALSE,TRUE),TRUE)</f>
        <v>1</v>
      </c>
      <c r="H913" s="52" t="str">
        <f t="shared" si="29"/>
        <v>Row 156 - For a ‘Transport unit’ both ‘Location on board’ and ‘Amount’ are required</v>
      </c>
      <c r="I913" s="236" t="s">
        <v>1853</v>
      </c>
      <c r="J913" s="52" t="b">
        <f>IF(OR(INDEX(OHZ_HAZ_UNITTYPE,156,1)&lt;&gt;"",),IF(OR(INDEX(OHZ_HAZ_LOCATION,156,1)="",INDEX(OHZ_HAZ_AMOUNT,156,1)="",),FALSE,TRUE),TRUE)</f>
        <v>1</v>
      </c>
      <c r="K913" s="52" t="str">
        <f t="shared" si="30"/>
        <v>Row 156 - For a ‘Transport unit’ both ‘Location on board’ and ‘Amount’ are required</v>
      </c>
      <c r="L913" s="236" t="s">
        <v>1853</v>
      </c>
    </row>
    <row r="914" spans="7:12">
      <c r="G914" s="250" t="b">
        <f>IF(OR(INDEX(IHZ_HAZ_UNITTYPE,157,1)&lt;&gt;"",),IF(OR(INDEX(IHZ_HAZ_LOCATION,157,1)="",INDEX(IHZ_HAZ_AMOUNT,157,1)="",),FALSE,TRUE),TRUE)</f>
        <v>1</v>
      </c>
      <c r="H914" s="52" t="str">
        <f t="shared" si="29"/>
        <v>Row 157 - For a ‘Transport unit’ both ‘Location on board’ and ‘Amount’ are required</v>
      </c>
      <c r="I914" s="236" t="s">
        <v>1853</v>
      </c>
      <c r="J914" s="52" t="b">
        <f>IF(OR(INDEX(OHZ_HAZ_UNITTYPE,157,1)&lt;&gt;"",),IF(OR(INDEX(OHZ_HAZ_LOCATION,157,1)="",INDEX(OHZ_HAZ_AMOUNT,157,1)="",),FALSE,TRUE),TRUE)</f>
        <v>1</v>
      </c>
      <c r="K914" s="52" t="str">
        <f t="shared" si="30"/>
        <v>Row 157 - For a ‘Transport unit’ both ‘Location on board’ and ‘Amount’ are required</v>
      </c>
      <c r="L914" s="236" t="s">
        <v>1853</v>
      </c>
    </row>
    <row r="915" spans="7:12">
      <c r="G915" s="250" t="b">
        <f>IF(OR(INDEX(IHZ_HAZ_UNITTYPE,158,1)&lt;&gt;"",),IF(OR(INDEX(IHZ_HAZ_LOCATION,158,1)="",INDEX(IHZ_HAZ_AMOUNT,158,1)="",),FALSE,TRUE),TRUE)</f>
        <v>1</v>
      </c>
      <c r="H915" s="52" t="str">
        <f t="shared" si="29"/>
        <v>Row 158 - For a ‘Transport unit’ both ‘Location on board’ and ‘Amount’ are required</v>
      </c>
      <c r="I915" s="236" t="s">
        <v>1853</v>
      </c>
      <c r="J915" s="52" t="b">
        <f>IF(OR(INDEX(OHZ_HAZ_UNITTYPE,158,1)&lt;&gt;"",),IF(OR(INDEX(OHZ_HAZ_LOCATION,158,1)="",INDEX(OHZ_HAZ_AMOUNT,158,1)="",),FALSE,TRUE),TRUE)</f>
        <v>1</v>
      </c>
      <c r="K915" s="52" t="str">
        <f t="shared" si="30"/>
        <v>Row 158 - For a ‘Transport unit’ both ‘Location on board’ and ‘Amount’ are required</v>
      </c>
      <c r="L915" s="236" t="s">
        <v>1853</v>
      </c>
    </row>
    <row r="916" spans="7:12">
      <c r="G916" s="250" t="b">
        <f>IF(OR(INDEX(IHZ_HAZ_UNITTYPE,159,1)&lt;&gt;"",),IF(OR(INDEX(IHZ_HAZ_LOCATION,159,1)="",INDEX(IHZ_HAZ_AMOUNT,159,1)="",),FALSE,TRUE),TRUE)</f>
        <v>1</v>
      </c>
      <c r="H916" s="52" t="str">
        <f t="shared" si="29"/>
        <v>Row 159 - For a ‘Transport unit’ both ‘Location on board’ and ‘Amount’ are required</v>
      </c>
      <c r="I916" s="236" t="s">
        <v>1853</v>
      </c>
      <c r="J916" s="52" t="b">
        <f>IF(OR(INDEX(OHZ_HAZ_UNITTYPE,159,1)&lt;&gt;"",),IF(OR(INDEX(OHZ_HAZ_LOCATION,159,1)="",INDEX(OHZ_HAZ_AMOUNT,159,1)="",),FALSE,TRUE),TRUE)</f>
        <v>1</v>
      </c>
      <c r="K916" s="52" t="str">
        <f t="shared" si="30"/>
        <v>Row 159 - For a ‘Transport unit’ both ‘Location on board’ and ‘Amount’ are required</v>
      </c>
      <c r="L916" s="236" t="s">
        <v>1853</v>
      </c>
    </row>
    <row r="917" spans="7:12">
      <c r="G917" s="250" t="b">
        <f>IF(OR(INDEX(IHZ_HAZ_UNITTYPE,160,1)&lt;&gt;"",),IF(OR(INDEX(IHZ_HAZ_LOCATION,160,1)="",INDEX(IHZ_HAZ_AMOUNT,160,1)="",),FALSE,TRUE),TRUE)</f>
        <v>1</v>
      </c>
      <c r="H917" s="52" t="str">
        <f t="shared" si="29"/>
        <v>Row 160 - For a ‘Transport unit’ both ‘Location on board’ and ‘Amount’ are required</v>
      </c>
      <c r="I917" s="236" t="s">
        <v>1853</v>
      </c>
      <c r="J917" s="52" t="b">
        <f>IF(OR(INDEX(OHZ_HAZ_UNITTYPE,160,1)&lt;&gt;"",),IF(OR(INDEX(OHZ_HAZ_LOCATION,160,1)="",INDEX(OHZ_HAZ_AMOUNT,160,1)="",),FALSE,TRUE),TRUE)</f>
        <v>1</v>
      </c>
      <c r="K917" s="52" t="str">
        <f t="shared" si="30"/>
        <v>Row 160 - For a ‘Transport unit’ both ‘Location on board’ and ‘Amount’ are required</v>
      </c>
      <c r="L917" s="236" t="s">
        <v>1853</v>
      </c>
    </row>
    <row r="918" spans="7:12">
      <c r="G918" s="250" t="b">
        <f>IF(OR(INDEX(IHZ_HAZ_UNITTYPE,161,1)&lt;&gt;"",),IF(OR(INDEX(IHZ_HAZ_LOCATION,161,1)="",INDEX(IHZ_HAZ_AMOUNT,161,1)="",),FALSE,TRUE),TRUE)</f>
        <v>1</v>
      </c>
      <c r="H918" s="52" t="str">
        <f t="shared" si="29"/>
        <v>Row 161 - For a ‘Transport unit’ both ‘Location on board’ and ‘Amount’ are required</v>
      </c>
      <c r="I918" s="236" t="s">
        <v>1853</v>
      </c>
      <c r="J918" s="52" t="b">
        <f>IF(OR(INDEX(OHZ_HAZ_UNITTYPE,161,1)&lt;&gt;"",),IF(OR(INDEX(OHZ_HAZ_LOCATION,161,1)="",INDEX(OHZ_HAZ_AMOUNT,161,1)="",),FALSE,TRUE),TRUE)</f>
        <v>1</v>
      </c>
      <c r="K918" s="52" t="str">
        <f t="shared" si="30"/>
        <v>Row 161 - For a ‘Transport unit’ both ‘Location on board’ and ‘Amount’ are required</v>
      </c>
      <c r="L918" s="236" t="s">
        <v>1853</v>
      </c>
    </row>
    <row r="919" spans="7:12">
      <c r="G919" s="250" t="b">
        <f>IF(OR(INDEX(IHZ_HAZ_UNITTYPE,162,1)&lt;&gt;"",),IF(OR(INDEX(IHZ_HAZ_LOCATION,162,1)="",INDEX(IHZ_HAZ_AMOUNT,162,1)="",),FALSE,TRUE),TRUE)</f>
        <v>1</v>
      </c>
      <c r="H919" s="52" t="str">
        <f t="shared" si="29"/>
        <v>Row 162 - For a ‘Transport unit’ both ‘Location on board’ and ‘Amount’ are required</v>
      </c>
      <c r="I919" s="236" t="s">
        <v>1853</v>
      </c>
      <c r="J919" s="52" t="b">
        <f>IF(OR(INDEX(OHZ_HAZ_UNITTYPE,162,1)&lt;&gt;"",),IF(OR(INDEX(OHZ_HAZ_LOCATION,162,1)="",INDEX(OHZ_HAZ_AMOUNT,162,1)="",),FALSE,TRUE),TRUE)</f>
        <v>1</v>
      </c>
      <c r="K919" s="52" t="str">
        <f t="shared" si="30"/>
        <v>Row 162 - For a ‘Transport unit’ both ‘Location on board’ and ‘Amount’ are required</v>
      </c>
      <c r="L919" s="236" t="s">
        <v>1853</v>
      </c>
    </row>
    <row r="920" spans="7:12">
      <c r="G920" s="250" t="b">
        <f>IF(OR(INDEX(IHZ_HAZ_UNITTYPE,163,1)&lt;&gt;"",),IF(OR(INDEX(IHZ_HAZ_LOCATION,163,1)="",INDEX(IHZ_HAZ_AMOUNT,163,1)="",),FALSE,TRUE),TRUE)</f>
        <v>1</v>
      </c>
      <c r="H920" s="52" t="str">
        <f t="shared" si="29"/>
        <v>Row 163 - For a ‘Transport unit’ both ‘Location on board’ and ‘Amount’ are required</v>
      </c>
      <c r="I920" s="236" t="s">
        <v>1853</v>
      </c>
      <c r="J920" s="52" t="b">
        <f>IF(OR(INDEX(OHZ_HAZ_UNITTYPE,163,1)&lt;&gt;"",),IF(OR(INDEX(OHZ_HAZ_LOCATION,163,1)="",INDEX(OHZ_HAZ_AMOUNT,163,1)="",),FALSE,TRUE),TRUE)</f>
        <v>1</v>
      </c>
      <c r="K920" s="52" t="str">
        <f t="shared" si="30"/>
        <v>Row 163 - For a ‘Transport unit’ both ‘Location on board’ and ‘Amount’ are required</v>
      </c>
      <c r="L920" s="236" t="s">
        <v>1853</v>
      </c>
    </row>
    <row r="921" spans="7:12">
      <c r="G921" s="250" t="b">
        <f>IF(OR(INDEX(IHZ_HAZ_UNITTYPE,164,1)&lt;&gt;"",),IF(OR(INDEX(IHZ_HAZ_LOCATION,164,1)="",INDEX(IHZ_HAZ_AMOUNT,164,1)="",),FALSE,TRUE),TRUE)</f>
        <v>1</v>
      </c>
      <c r="H921" s="52" t="str">
        <f t="shared" si="29"/>
        <v>Row 164 - For a ‘Transport unit’ both ‘Location on board’ and ‘Amount’ are required</v>
      </c>
      <c r="I921" s="236" t="s">
        <v>1853</v>
      </c>
      <c r="J921" s="52" t="b">
        <f>IF(OR(INDEX(OHZ_HAZ_UNITTYPE,164,1)&lt;&gt;"",),IF(OR(INDEX(OHZ_HAZ_LOCATION,164,1)="",INDEX(OHZ_HAZ_AMOUNT,164,1)="",),FALSE,TRUE),TRUE)</f>
        <v>1</v>
      </c>
      <c r="K921" s="52" t="str">
        <f t="shared" si="30"/>
        <v>Row 164 - For a ‘Transport unit’ both ‘Location on board’ and ‘Amount’ are required</v>
      </c>
      <c r="L921" s="236" t="s">
        <v>1853</v>
      </c>
    </row>
    <row r="922" spans="7:12">
      <c r="G922" s="250" t="b">
        <f>IF(OR(INDEX(IHZ_HAZ_UNITTYPE,165,1)&lt;&gt;"",),IF(OR(INDEX(IHZ_HAZ_LOCATION,165,1)="",INDEX(IHZ_HAZ_AMOUNT,165,1)="",),FALSE,TRUE),TRUE)</f>
        <v>1</v>
      </c>
      <c r="H922" s="52" t="str">
        <f t="shared" si="29"/>
        <v>Row 165 - For a ‘Transport unit’ both ‘Location on board’ and ‘Amount’ are required</v>
      </c>
      <c r="I922" s="236" t="s">
        <v>1853</v>
      </c>
      <c r="J922" s="52" t="b">
        <f>IF(OR(INDEX(OHZ_HAZ_UNITTYPE,165,1)&lt;&gt;"",),IF(OR(INDEX(OHZ_HAZ_LOCATION,165,1)="",INDEX(OHZ_HAZ_AMOUNT,165,1)="",),FALSE,TRUE),TRUE)</f>
        <v>1</v>
      </c>
      <c r="K922" s="52" t="str">
        <f t="shared" si="30"/>
        <v>Row 165 - For a ‘Transport unit’ both ‘Location on board’ and ‘Amount’ are required</v>
      </c>
      <c r="L922" s="236" t="s">
        <v>1853</v>
      </c>
    </row>
    <row r="923" spans="7:12">
      <c r="G923" s="250" t="b">
        <f>IF(OR(INDEX(IHZ_HAZ_UNITTYPE,166,1)&lt;&gt;"",),IF(OR(INDEX(IHZ_HAZ_LOCATION,166,1)="",INDEX(IHZ_HAZ_AMOUNT,166,1)="",),FALSE,TRUE),TRUE)</f>
        <v>1</v>
      </c>
      <c r="H923" s="52" t="str">
        <f t="shared" si="29"/>
        <v>Row 166 - For a ‘Transport unit’ both ‘Location on board’ and ‘Amount’ are required</v>
      </c>
      <c r="I923" s="236" t="s">
        <v>1853</v>
      </c>
      <c r="J923" s="52" t="b">
        <f>IF(OR(INDEX(OHZ_HAZ_UNITTYPE,166,1)&lt;&gt;"",),IF(OR(INDEX(OHZ_HAZ_LOCATION,166,1)="",INDEX(OHZ_HAZ_AMOUNT,166,1)="",),FALSE,TRUE),TRUE)</f>
        <v>1</v>
      </c>
      <c r="K923" s="52" t="str">
        <f t="shared" si="30"/>
        <v>Row 166 - For a ‘Transport unit’ both ‘Location on board’ and ‘Amount’ are required</v>
      </c>
      <c r="L923" s="236" t="s">
        <v>1853</v>
      </c>
    </row>
    <row r="924" spans="7:12">
      <c r="G924" s="250" t="b">
        <f>IF(OR(INDEX(IHZ_HAZ_UNITTYPE,167,1)&lt;&gt;"",),IF(OR(INDEX(IHZ_HAZ_LOCATION,167,1)="",INDEX(IHZ_HAZ_AMOUNT,167,1)="",),FALSE,TRUE),TRUE)</f>
        <v>1</v>
      </c>
      <c r="H924" s="52" t="str">
        <f t="shared" si="29"/>
        <v>Row 167 - For a ‘Transport unit’ both ‘Location on board’ and ‘Amount’ are required</v>
      </c>
      <c r="I924" s="236" t="s">
        <v>1853</v>
      </c>
      <c r="J924" s="52" t="b">
        <f>IF(OR(INDEX(OHZ_HAZ_UNITTYPE,167,1)&lt;&gt;"",),IF(OR(INDEX(OHZ_HAZ_LOCATION,167,1)="",INDEX(OHZ_HAZ_AMOUNT,167,1)="",),FALSE,TRUE),TRUE)</f>
        <v>1</v>
      </c>
      <c r="K924" s="52" t="str">
        <f t="shared" si="30"/>
        <v>Row 167 - For a ‘Transport unit’ both ‘Location on board’ and ‘Amount’ are required</v>
      </c>
      <c r="L924" s="236" t="s">
        <v>1853</v>
      </c>
    </row>
    <row r="925" spans="7:12">
      <c r="G925" s="250" t="b">
        <f>IF(OR(INDEX(IHZ_HAZ_UNITTYPE,168,1)&lt;&gt;"",),IF(OR(INDEX(IHZ_HAZ_LOCATION,168,1)="",INDEX(IHZ_HAZ_AMOUNT,168,1)="",),FALSE,TRUE),TRUE)</f>
        <v>1</v>
      </c>
      <c r="H925" s="52" t="str">
        <f t="shared" si="29"/>
        <v>Row 168 - For a ‘Transport unit’ both ‘Location on board’ and ‘Amount’ are required</v>
      </c>
      <c r="I925" s="236" t="s">
        <v>1853</v>
      </c>
      <c r="J925" s="52" t="b">
        <f>IF(OR(INDEX(OHZ_HAZ_UNITTYPE,168,1)&lt;&gt;"",),IF(OR(INDEX(OHZ_HAZ_LOCATION,168,1)="",INDEX(OHZ_HAZ_AMOUNT,168,1)="",),FALSE,TRUE),TRUE)</f>
        <v>1</v>
      </c>
      <c r="K925" s="52" t="str">
        <f t="shared" si="30"/>
        <v>Row 168 - For a ‘Transport unit’ both ‘Location on board’ and ‘Amount’ are required</v>
      </c>
      <c r="L925" s="236" t="s">
        <v>1853</v>
      </c>
    </row>
    <row r="926" spans="7:12">
      <c r="G926" s="250" t="b">
        <f>IF(OR(INDEX(IHZ_HAZ_UNITTYPE,169,1)&lt;&gt;"",),IF(OR(INDEX(IHZ_HAZ_LOCATION,169,1)="",INDEX(IHZ_HAZ_AMOUNT,169,1)="",),FALSE,TRUE),TRUE)</f>
        <v>1</v>
      </c>
      <c r="H926" s="52" t="str">
        <f t="shared" si="29"/>
        <v>Row 169 - For a ‘Transport unit’ both ‘Location on board’ and ‘Amount’ are required</v>
      </c>
      <c r="I926" s="236" t="s">
        <v>1853</v>
      </c>
      <c r="J926" s="52" t="b">
        <f>IF(OR(INDEX(OHZ_HAZ_UNITTYPE,169,1)&lt;&gt;"",),IF(OR(INDEX(OHZ_HAZ_LOCATION,169,1)="",INDEX(OHZ_HAZ_AMOUNT,169,1)="",),FALSE,TRUE),TRUE)</f>
        <v>1</v>
      </c>
      <c r="K926" s="52" t="str">
        <f t="shared" si="30"/>
        <v>Row 169 - For a ‘Transport unit’ both ‘Location on board’ and ‘Amount’ are required</v>
      </c>
      <c r="L926" s="236" t="s">
        <v>1853</v>
      </c>
    </row>
    <row r="927" spans="7:12">
      <c r="G927" s="250" t="b">
        <f>IF(OR(INDEX(IHZ_HAZ_UNITTYPE,170,1)&lt;&gt;"",),IF(OR(INDEX(IHZ_HAZ_LOCATION,170,1)="",INDEX(IHZ_HAZ_AMOUNT,170,1)="",),FALSE,TRUE),TRUE)</f>
        <v>1</v>
      </c>
      <c r="H927" s="52" t="str">
        <f t="shared" si="29"/>
        <v>Row 170 - For a ‘Transport unit’ both ‘Location on board’ and ‘Amount’ are required</v>
      </c>
      <c r="I927" s="236" t="s">
        <v>1853</v>
      </c>
      <c r="J927" s="52" t="b">
        <f>IF(OR(INDEX(OHZ_HAZ_UNITTYPE,170,1)&lt;&gt;"",),IF(OR(INDEX(OHZ_HAZ_LOCATION,170,1)="",INDEX(OHZ_HAZ_AMOUNT,170,1)="",),FALSE,TRUE),TRUE)</f>
        <v>1</v>
      </c>
      <c r="K927" s="52" t="str">
        <f t="shared" si="30"/>
        <v>Row 170 - For a ‘Transport unit’ both ‘Location on board’ and ‘Amount’ are required</v>
      </c>
      <c r="L927" s="236" t="s">
        <v>1853</v>
      </c>
    </row>
    <row r="928" spans="7:12">
      <c r="G928" s="250" t="b">
        <f>IF(OR(INDEX(IHZ_HAZ_UNITTYPE,171,1)&lt;&gt;"",),IF(OR(INDEX(IHZ_HAZ_LOCATION,171,1)="",INDEX(IHZ_HAZ_AMOUNT,171,1)="",),FALSE,TRUE),TRUE)</f>
        <v>1</v>
      </c>
      <c r="H928" s="52" t="str">
        <f t="shared" si="29"/>
        <v>Row 171 - For a ‘Transport unit’ both ‘Location on board’ and ‘Amount’ are required</v>
      </c>
      <c r="I928" s="236" t="s">
        <v>1853</v>
      </c>
      <c r="J928" s="52" t="b">
        <f>IF(OR(INDEX(OHZ_HAZ_UNITTYPE,171,1)&lt;&gt;"",),IF(OR(INDEX(OHZ_HAZ_LOCATION,171,1)="",INDEX(OHZ_HAZ_AMOUNT,171,1)="",),FALSE,TRUE),TRUE)</f>
        <v>1</v>
      </c>
      <c r="K928" s="52" t="str">
        <f t="shared" si="30"/>
        <v>Row 171 - For a ‘Transport unit’ both ‘Location on board’ and ‘Amount’ are required</v>
      </c>
      <c r="L928" s="236" t="s">
        <v>1853</v>
      </c>
    </row>
    <row r="929" spans="7:12">
      <c r="G929" s="250" t="b">
        <f>IF(OR(INDEX(IHZ_HAZ_UNITTYPE,172,1)&lt;&gt;"",),IF(OR(INDEX(IHZ_HAZ_LOCATION,172,1)="",INDEX(IHZ_HAZ_AMOUNT,172,1)="",),FALSE,TRUE),TRUE)</f>
        <v>1</v>
      </c>
      <c r="H929" s="52" t="str">
        <f t="shared" si="29"/>
        <v>Row 172 - For a ‘Transport unit’ both ‘Location on board’ and ‘Amount’ are required</v>
      </c>
      <c r="I929" s="236" t="s">
        <v>1853</v>
      </c>
      <c r="J929" s="52" t="b">
        <f>IF(OR(INDEX(OHZ_HAZ_UNITTYPE,172,1)&lt;&gt;"",),IF(OR(INDEX(OHZ_HAZ_LOCATION,172,1)="",INDEX(OHZ_HAZ_AMOUNT,172,1)="",),FALSE,TRUE),TRUE)</f>
        <v>1</v>
      </c>
      <c r="K929" s="52" t="str">
        <f t="shared" si="30"/>
        <v>Row 172 - For a ‘Transport unit’ both ‘Location on board’ and ‘Amount’ are required</v>
      </c>
      <c r="L929" s="236" t="s">
        <v>1853</v>
      </c>
    </row>
    <row r="930" spans="7:12">
      <c r="G930" s="250" t="b">
        <f>IF(OR(INDEX(IHZ_HAZ_UNITTYPE,173,1)&lt;&gt;"",),IF(OR(INDEX(IHZ_HAZ_LOCATION,173,1)="",INDEX(IHZ_HAZ_AMOUNT,173,1)="",),FALSE,TRUE),TRUE)</f>
        <v>1</v>
      </c>
      <c r="H930" s="52" t="str">
        <f t="shared" si="29"/>
        <v>Row 173 - For a ‘Transport unit’ both ‘Location on board’ and ‘Amount’ are required</v>
      </c>
      <c r="I930" s="236" t="s">
        <v>1853</v>
      </c>
      <c r="J930" s="52" t="b">
        <f>IF(OR(INDEX(OHZ_HAZ_UNITTYPE,173,1)&lt;&gt;"",),IF(OR(INDEX(OHZ_HAZ_LOCATION,173,1)="",INDEX(OHZ_HAZ_AMOUNT,173,1)="",),FALSE,TRUE),TRUE)</f>
        <v>1</v>
      </c>
      <c r="K930" s="52" t="str">
        <f t="shared" si="30"/>
        <v>Row 173 - For a ‘Transport unit’ both ‘Location on board’ and ‘Amount’ are required</v>
      </c>
      <c r="L930" s="236" t="s">
        <v>1853</v>
      </c>
    </row>
    <row r="931" spans="7:12">
      <c r="G931" s="250" t="b">
        <f>IF(OR(INDEX(IHZ_HAZ_UNITTYPE,174,1)&lt;&gt;"",),IF(OR(INDEX(IHZ_HAZ_LOCATION,174,1)="",INDEX(IHZ_HAZ_AMOUNT,174,1)="",),FALSE,TRUE),TRUE)</f>
        <v>1</v>
      </c>
      <c r="H931" s="52" t="str">
        <f t="shared" si="29"/>
        <v>Row 174 - For a ‘Transport unit’ both ‘Location on board’ and ‘Amount’ are required</v>
      </c>
      <c r="I931" s="236" t="s">
        <v>1853</v>
      </c>
      <c r="J931" s="52" t="b">
        <f>IF(OR(INDEX(OHZ_HAZ_UNITTYPE,174,1)&lt;&gt;"",),IF(OR(INDEX(OHZ_HAZ_LOCATION,174,1)="",INDEX(OHZ_HAZ_AMOUNT,174,1)="",),FALSE,TRUE),TRUE)</f>
        <v>1</v>
      </c>
      <c r="K931" s="52" t="str">
        <f t="shared" si="30"/>
        <v>Row 174 - For a ‘Transport unit’ both ‘Location on board’ and ‘Amount’ are required</v>
      </c>
      <c r="L931" s="236" t="s">
        <v>1853</v>
      </c>
    </row>
    <row r="932" spans="7:12">
      <c r="G932" s="250" t="b">
        <f>IF(OR(INDEX(IHZ_HAZ_UNITTYPE,175,1)&lt;&gt;"",),IF(OR(INDEX(IHZ_HAZ_LOCATION,175,1)="",INDEX(IHZ_HAZ_AMOUNT,175,1)="",),FALSE,TRUE),TRUE)</f>
        <v>1</v>
      </c>
      <c r="H932" s="52" t="str">
        <f t="shared" si="29"/>
        <v>Row 175 - For a ‘Transport unit’ both ‘Location on board’ and ‘Amount’ are required</v>
      </c>
      <c r="I932" s="236" t="s">
        <v>1853</v>
      </c>
      <c r="J932" s="52" t="b">
        <f>IF(OR(INDEX(OHZ_HAZ_UNITTYPE,175,1)&lt;&gt;"",),IF(OR(INDEX(OHZ_HAZ_LOCATION,175,1)="",INDEX(OHZ_HAZ_AMOUNT,175,1)="",),FALSE,TRUE),TRUE)</f>
        <v>1</v>
      </c>
      <c r="K932" s="52" t="str">
        <f t="shared" si="30"/>
        <v>Row 175 - For a ‘Transport unit’ both ‘Location on board’ and ‘Amount’ are required</v>
      </c>
      <c r="L932" s="236" t="s">
        <v>1853</v>
      </c>
    </row>
    <row r="933" spans="7:12">
      <c r="G933" s="250" t="b">
        <f>IF(OR(INDEX(IHZ_HAZ_UNITTYPE,176,1)&lt;&gt;"",),IF(OR(INDEX(IHZ_HAZ_LOCATION,176,1)="",INDEX(IHZ_HAZ_AMOUNT,176,1)="",),FALSE,TRUE),TRUE)</f>
        <v>1</v>
      </c>
      <c r="H933" s="52" t="str">
        <f t="shared" si="29"/>
        <v>Row 176 - For a ‘Transport unit’ both ‘Location on board’ and ‘Amount’ are required</v>
      </c>
      <c r="I933" s="236" t="s">
        <v>1853</v>
      </c>
      <c r="J933" s="52" t="b">
        <f>IF(OR(INDEX(OHZ_HAZ_UNITTYPE,176,1)&lt;&gt;"",),IF(OR(INDEX(OHZ_HAZ_LOCATION,176,1)="",INDEX(OHZ_HAZ_AMOUNT,176,1)="",),FALSE,TRUE),TRUE)</f>
        <v>1</v>
      </c>
      <c r="K933" s="52" t="str">
        <f t="shared" si="30"/>
        <v>Row 176 - For a ‘Transport unit’ both ‘Location on board’ and ‘Amount’ are required</v>
      </c>
      <c r="L933" s="236" t="s">
        <v>1853</v>
      </c>
    </row>
    <row r="934" spans="7:12">
      <c r="G934" s="250" t="b">
        <f>IF(OR(INDEX(IHZ_HAZ_UNITTYPE,177,1)&lt;&gt;"",),IF(OR(INDEX(IHZ_HAZ_LOCATION,177,1)="",INDEX(IHZ_HAZ_AMOUNT,177,1)="",),FALSE,TRUE),TRUE)</f>
        <v>1</v>
      </c>
      <c r="H934" s="52" t="str">
        <f t="shared" si="29"/>
        <v>Row 177 - For a ‘Transport unit’ both ‘Location on board’ and ‘Amount’ are required</v>
      </c>
      <c r="I934" s="236" t="s">
        <v>1853</v>
      </c>
      <c r="J934" s="52" t="b">
        <f>IF(OR(INDEX(OHZ_HAZ_UNITTYPE,177,1)&lt;&gt;"",),IF(OR(INDEX(OHZ_HAZ_LOCATION,177,1)="",INDEX(OHZ_HAZ_AMOUNT,177,1)="",),FALSE,TRUE),TRUE)</f>
        <v>1</v>
      </c>
      <c r="K934" s="52" t="str">
        <f t="shared" si="30"/>
        <v>Row 177 - For a ‘Transport unit’ both ‘Location on board’ and ‘Amount’ are required</v>
      </c>
      <c r="L934" s="236" t="s">
        <v>1853</v>
      </c>
    </row>
    <row r="935" spans="7:12">
      <c r="G935" s="250" t="b">
        <f>IF(OR(INDEX(IHZ_HAZ_UNITTYPE,178,1)&lt;&gt;"",),IF(OR(INDEX(IHZ_HAZ_LOCATION,178,1)="",INDEX(IHZ_HAZ_AMOUNT,178,1)="",),FALSE,TRUE),TRUE)</f>
        <v>1</v>
      </c>
      <c r="H935" s="52" t="str">
        <f t="shared" si="29"/>
        <v>Row 178 - For a ‘Transport unit’ both ‘Location on board’ and ‘Amount’ are required</v>
      </c>
      <c r="I935" s="236" t="s">
        <v>1853</v>
      </c>
      <c r="J935" s="52" t="b">
        <f>IF(OR(INDEX(OHZ_HAZ_UNITTYPE,178,1)&lt;&gt;"",),IF(OR(INDEX(OHZ_HAZ_LOCATION,178,1)="",INDEX(OHZ_HAZ_AMOUNT,178,1)="",),FALSE,TRUE),TRUE)</f>
        <v>1</v>
      </c>
      <c r="K935" s="52" t="str">
        <f t="shared" si="30"/>
        <v>Row 178 - For a ‘Transport unit’ both ‘Location on board’ and ‘Amount’ are required</v>
      </c>
      <c r="L935" s="236" t="s">
        <v>1853</v>
      </c>
    </row>
    <row r="936" spans="7:12">
      <c r="G936" s="250" t="b">
        <f>IF(OR(INDEX(IHZ_HAZ_UNITTYPE,179,1)&lt;&gt;"",),IF(OR(INDEX(IHZ_HAZ_LOCATION,179,1)="",INDEX(IHZ_HAZ_AMOUNT,179,1)="",),FALSE,TRUE),TRUE)</f>
        <v>1</v>
      </c>
      <c r="H936" s="52" t="str">
        <f t="shared" si="29"/>
        <v>Row 179 - For a ‘Transport unit’ both ‘Location on board’ and ‘Amount’ are required</v>
      </c>
      <c r="I936" s="236" t="s">
        <v>1853</v>
      </c>
      <c r="J936" s="52" t="b">
        <f>IF(OR(INDEX(OHZ_HAZ_UNITTYPE,179,1)&lt;&gt;"",),IF(OR(INDEX(OHZ_HAZ_LOCATION,179,1)="",INDEX(OHZ_HAZ_AMOUNT,179,1)="",),FALSE,TRUE),TRUE)</f>
        <v>1</v>
      </c>
      <c r="K936" s="52" t="str">
        <f t="shared" si="30"/>
        <v>Row 179 - For a ‘Transport unit’ both ‘Location on board’ and ‘Amount’ are required</v>
      </c>
      <c r="L936" s="236" t="s">
        <v>1853</v>
      </c>
    </row>
    <row r="937" spans="7:12">
      <c r="G937" s="250" t="b">
        <f>IF(OR(INDEX(IHZ_HAZ_UNITTYPE,180,1)&lt;&gt;"",),IF(OR(INDEX(IHZ_HAZ_LOCATION,180,1)="",INDEX(IHZ_HAZ_AMOUNT,180,1)="",),FALSE,TRUE),TRUE)</f>
        <v>1</v>
      </c>
      <c r="H937" s="52" t="str">
        <f t="shared" si="29"/>
        <v>Row 180 - For a ‘Transport unit’ both ‘Location on board’ and ‘Amount’ are required</v>
      </c>
      <c r="I937" s="236" t="s">
        <v>1853</v>
      </c>
      <c r="J937" s="52" t="b">
        <f>IF(OR(INDEX(OHZ_HAZ_UNITTYPE,180,1)&lt;&gt;"",),IF(OR(INDEX(OHZ_HAZ_LOCATION,180,1)="",INDEX(OHZ_HAZ_AMOUNT,180,1)="",),FALSE,TRUE),TRUE)</f>
        <v>1</v>
      </c>
      <c r="K937" s="52" t="str">
        <f t="shared" si="30"/>
        <v>Row 180 - For a ‘Transport unit’ both ‘Location on board’ and ‘Amount’ are required</v>
      </c>
      <c r="L937" s="236" t="s">
        <v>1853</v>
      </c>
    </row>
    <row r="938" spans="7:12">
      <c r="G938" s="250" t="b">
        <f>IF(OR(INDEX(IHZ_HAZ_UNITTYPE,181,1)&lt;&gt;"",),IF(OR(INDEX(IHZ_HAZ_LOCATION,181,1)="",INDEX(IHZ_HAZ_AMOUNT,181,1)="",),FALSE,TRUE),TRUE)</f>
        <v>1</v>
      </c>
      <c r="H938" s="52" t="str">
        <f t="shared" si="29"/>
        <v>Row 181 - For a ‘Transport unit’ both ‘Location on board’ and ‘Amount’ are required</v>
      </c>
      <c r="I938" s="236" t="s">
        <v>1853</v>
      </c>
      <c r="J938" s="52" t="b">
        <f>IF(OR(INDEX(OHZ_HAZ_UNITTYPE,181,1)&lt;&gt;"",),IF(OR(INDEX(OHZ_HAZ_LOCATION,181,1)="",INDEX(OHZ_HAZ_AMOUNT,181,1)="",),FALSE,TRUE),TRUE)</f>
        <v>1</v>
      </c>
      <c r="K938" s="52" t="str">
        <f t="shared" si="30"/>
        <v>Row 181 - For a ‘Transport unit’ both ‘Location on board’ and ‘Amount’ are required</v>
      </c>
      <c r="L938" s="236" t="s">
        <v>1853</v>
      </c>
    </row>
    <row r="939" spans="7:12">
      <c r="G939" s="250" t="b">
        <f>IF(OR(INDEX(IHZ_HAZ_UNITTYPE,182,1)&lt;&gt;"",),IF(OR(INDEX(IHZ_HAZ_LOCATION,182,1)="",INDEX(IHZ_HAZ_AMOUNT,182,1)="",),FALSE,TRUE),TRUE)</f>
        <v>1</v>
      </c>
      <c r="H939" s="52" t="str">
        <f t="shared" si="29"/>
        <v>Row 182 - For a ‘Transport unit’ both ‘Location on board’ and ‘Amount’ are required</v>
      </c>
      <c r="I939" s="236" t="s">
        <v>1853</v>
      </c>
      <c r="J939" s="52" t="b">
        <f>IF(OR(INDEX(OHZ_HAZ_UNITTYPE,182,1)&lt;&gt;"",),IF(OR(INDEX(OHZ_HAZ_LOCATION,182,1)="",INDEX(OHZ_HAZ_AMOUNT,182,1)="",),FALSE,TRUE),TRUE)</f>
        <v>1</v>
      </c>
      <c r="K939" s="52" t="str">
        <f t="shared" si="30"/>
        <v>Row 182 - For a ‘Transport unit’ both ‘Location on board’ and ‘Amount’ are required</v>
      </c>
      <c r="L939" s="236" t="s">
        <v>1853</v>
      </c>
    </row>
    <row r="940" spans="7:12">
      <c r="G940" s="250" t="b">
        <f>IF(OR(INDEX(IHZ_HAZ_UNITTYPE,183,1)&lt;&gt;"",),IF(OR(INDEX(IHZ_HAZ_LOCATION,183,1)="",INDEX(IHZ_HAZ_AMOUNT,183,1)="",),FALSE,TRUE),TRUE)</f>
        <v>1</v>
      </c>
      <c r="H940" s="52" t="str">
        <f t="shared" si="29"/>
        <v>Row 183 - For a ‘Transport unit’ both ‘Location on board’ and ‘Amount’ are required</v>
      </c>
      <c r="I940" s="236" t="s">
        <v>1853</v>
      </c>
      <c r="J940" s="52" t="b">
        <f>IF(OR(INDEX(OHZ_HAZ_UNITTYPE,183,1)&lt;&gt;"",),IF(OR(INDEX(OHZ_HAZ_LOCATION,183,1)="",INDEX(OHZ_HAZ_AMOUNT,183,1)="",),FALSE,TRUE),TRUE)</f>
        <v>1</v>
      </c>
      <c r="K940" s="52" t="str">
        <f t="shared" si="30"/>
        <v>Row 183 - For a ‘Transport unit’ both ‘Location on board’ and ‘Amount’ are required</v>
      </c>
      <c r="L940" s="236" t="s">
        <v>1853</v>
      </c>
    </row>
    <row r="941" spans="7:12">
      <c r="G941" s="250" t="b">
        <f>IF(OR(INDEX(IHZ_HAZ_UNITTYPE,184,1)&lt;&gt;"",),IF(OR(INDEX(IHZ_HAZ_LOCATION,184,1)="",INDEX(IHZ_HAZ_AMOUNT,184,1)="",),FALSE,TRUE),TRUE)</f>
        <v>1</v>
      </c>
      <c r="H941" s="52" t="str">
        <f t="shared" si="29"/>
        <v>Row 184 - For a ‘Transport unit’ both ‘Location on board’ and ‘Amount’ are required</v>
      </c>
      <c r="I941" s="236" t="s">
        <v>1853</v>
      </c>
      <c r="J941" s="52" t="b">
        <f>IF(OR(INDEX(OHZ_HAZ_UNITTYPE,184,1)&lt;&gt;"",),IF(OR(INDEX(OHZ_HAZ_LOCATION,184,1)="",INDEX(OHZ_HAZ_AMOUNT,184,1)="",),FALSE,TRUE),TRUE)</f>
        <v>1</v>
      </c>
      <c r="K941" s="52" t="str">
        <f t="shared" si="30"/>
        <v>Row 184 - For a ‘Transport unit’ both ‘Location on board’ and ‘Amount’ are required</v>
      </c>
      <c r="L941" s="236" t="s">
        <v>1853</v>
      </c>
    </row>
    <row r="942" spans="7:12">
      <c r="G942" s="250" t="b">
        <f>IF(OR(INDEX(IHZ_HAZ_UNITTYPE,185,1)&lt;&gt;"",),IF(OR(INDEX(IHZ_HAZ_LOCATION,185,1)="",INDEX(IHZ_HAZ_AMOUNT,185,1)="",),FALSE,TRUE),TRUE)</f>
        <v>1</v>
      </c>
      <c r="H942" s="52" t="str">
        <f t="shared" si="29"/>
        <v>Row 185 - For a ‘Transport unit’ both ‘Location on board’ and ‘Amount’ are required</v>
      </c>
      <c r="I942" s="236" t="s">
        <v>1853</v>
      </c>
      <c r="J942" s="52" t="b">
        <f>IF(OR(INDEX(OHZ_HAZ_UNITTYPE,185,1)&lt;&gt;"",),IF(OR(INDEX(OHZ_HAZ_LOCATION,185,1)="",INDEX(OHZ_HAZ_AMOUNT,185,1)="",),FALSE,TRUE),TRUE)</f>
        <v>1</v>
      </c>
      <c r="K942" s="52" t="str">
        <f t="shared" si="30"/>
        <v>Row 185 - For a ‘Transport unit’ both ‘Location on board’ and ‘Amount’ are required</v>
      </c>
      <c r="L942" s="236" t="s">
        <v>1853</v>
      </c>
    </row>
    <row r="943" spans="7:12">
      <c r="G943" s="250" t="b">
        <f>IF(OR(INDEX(IHZ_HAZ_UNITTYPE,186,1)&lt;&gt;"",),IF(OR(INDEX(IHZ_HAZ_LOCATION,186,1)="",INDEX(IHZ_HAZ_AMOUNT,186,1)="",),FALSE,TRUE),TRUE)</f>
        <v>1</v>
      </c>
      <c r="H943" s="52" t="str">
        <f t="shared" si="29"/>
        <v>Row 186 - For a ‘Transport unit’ both ‘Location on board’ and ‘Amount’ are required</v>
      </c>
      <c r="I943" s="236" t="s">
        <v>1853</v>
      </c>
      <c r="J943" s="52" t="b">
        <f>IF(OR(INDEX(OHZ_HAZ_UNITTYPE,186,1)&lt;&gt;"",),IF(OR(INDEX(OHZ_HAZ_LOCATION,186,1)="",INDEX(OHZ_HAZ_AMOUNT,186,1)="",),FALSE,TRUE),TRUE)</f>
        <v>1</v>
      </c>
      <c r="K943" s="52" t="str">
        <f t="shared" si="30"/>
        <v>Row 186 - For a ‘Transport unit’ both ‘Location on board’ and ‘Amount’ are required</v>
      </c>
      <c r="L943" s="236" t="s">
        <v>1853</v>
      </c>
    </row>
    <row r="944" spans="7:12">
      <c r="G944" s="250" t="b">
        <f>IF(OR(INDEX(IHZ_HAZ_UNITTYPE,187,1)&lt;&gt;"",),IF(OR(INDEX(IHZ_HAZ_LOCATION,187,1)="",INDEX(IHZ_HAZ_AMOUNT,187,1)="",),FALSE,TRUE),TRUE)</f>
        <v>1</v>
      </c>
      <c r="H944" s="52" t="str">
        <f t="shared" si="29"/>
        <v>Row 187 - For a ‘Transport unit’ both ‘Location on board’ and ‘Amount’ are required</v>
      </c>
      <c r="I944" s="236" t="s">
        <v>1853</v>
      </c>
      <c r="J944" s="52" t="b">
        <f>IF(OR(INDEX(OHZ_HAZ_UNITTYPE,187,1)&lt;&gt;"",),IF(OR(INDEX(OHZ_HAZ_LOCATION,187,1)="",INDEX(OHZ_HAZ_AMOUNT,187,1)="",),FALSE,TRUE),TRUE)</f>
        <v>1</v>
      </c>
      <c r="K944" s="52" t="str">
        <f t="shared" si="30"/>
        <v>Row 187 - For a ‘Transport unit’ both ‘Location on board’ and ‘Amount’ are required</v>
      </c>
      <c r="L944" s="236" t="s">
        <v>1853</v>
      </c>
    </row>
    <row r="945" spans="7:12">
      <c r="G945" s="250" t="b">
        <f>IF(OR(INDEX(IHZ_HAZ_UNITTYPE,188,1)&lt;&gt;"",),IF(OR(INDEX(IHZ_HAZ_LOCATION,188,1)="",INDEX(IHZ_HAZ_AMOUNT,188,1)="",),FALSE,TRUE),TRUE)</f>
        <v>1</v>
      </c>
      <c r="H945" s="52" t="str">
        <f t="shared" si="29"/>
        <v>Row 188 - For a ‘Transport unit’ both ‘Location on board’ and ‘Amount’ are required</v>
      </c>
      <c r="I945" s="236" t="s">
        <v>1853</v>
      </c>
      <c r="J945" s="52" t="b">
        <f>IF(OR(INDEX(OHZ_HAZ_UNITTYPE,188,1)&lt;&gt;"",),IF(OR(INDEX(OHZ_HAZ_LOCATION,188,1)="",INDEX(OHZ_HAZ_AMOUNT,188,1)="",),FALSE,TRUE),TRUE)</f>
        <v>1</v>
      </c>
      <c r="K945" s="52" t="str">
        <f t="shared" si="30"/>
        <v>Row 188 - For a ‘Transport unit’ both ‘Location on board’ and ‘Amount’ are required</v>
      </c>
      <c r="L945" s="236" t="s">
        <v>1853</v>
      </c>
    </row>
    <row r="946" spans="7:12">
      <c r="G946" s="250" t="b">
        <f>IF(OR(INDEX(IHZ_HAZ_UNITTYPE,189,1)&lt;&gt;"",),IF(OR(INDEX(IHZ_HAZ_LOCATION,189,1)="",INDEX(IHZ_HAZ_AMOUNT,189,1)="",),FALSE,TRUE),TRUE)</f>
        <v>1</v>
      </c>
      <c r="H946" s="52" t="str">
        <f t="shared" si="29"/>
        <v>Row 189 - For a ‘Transport unit’ both ‘Location on board’ and ‘Amount’ are required</v>
      </c>
      <c r="I946" s="236" t="s">
        <v>1853</v>
      </c>
      <c r="J946" s="52" t="b">
        <f>IF(OR(INDEX(OHZ_HAZ_UNITTYPE,189,1)&lt;&gt;"",),IF(OR(INDEX(OHZ_HAZ_LOCATION,189,1)="",INDEX(OHZ_HAZ_AMOUNT,189,1)="",),FALSE,TRUE),TRUE)</f>
        <v>1</v>
      </c>
      <c r="K946" s="52" t="str">
        <f t="shared" si="30"/>
        <v>Row 189 - For a ‘Transport unit’ both ‘Location on board’ and ‘Amount’ are required</v>
      </c>
      <c r="L946" s="236" t="s">
        <v>1853</v>
      </c>
    </row>
    <row r="947" spans="7:12">
      <c r="G947" s="250" t="b">
        <f>IF(OR(INDEX(IHZ_HAZ_UNITTYPE,190,1)&lt;&gt;"",),IF(OR(INDEX(IHZ_HAZ_LOCATION,190,1)="",INDEX(IHZ_HAZ_AMOUNT,190,1)="",),FALSE,TRUE),TRUE)</f>
        <v>1</v>
      </c>
      <c r="H947" s="52" t="str">
        <f t="shared" si="29"/>
        <v>Row 190 - For a ‘Transport unit’ both ‘Location on board’ and ‘Amount’ are required</v>
      </c>
      <c r="I947" s="236" t="s">
        <v>1853</v>
      </c>
      <c r="J947" s="52" t="b">
        <f>IF(OR(INDEX(OHZ_HAZ_UNITTYPE,190,1)&lt;&gt;"",),IF(OR(INDEX(OHZ_HAZ_LOCATION,190,1)="",INDEX(OHZ_HAZ_AMOUNT,190,1)="",),FALSE,TRUE),TRUE)</f>
        <v>1</v>
      </c>
      <c r="K947" s="52" t="str">
        <f t="shared" si="30"/>
        <v>Row 190 - For a ‘Transport unit’ both ‘Location on board’ and ‘Amount’ are required</v>
      </c>
      <c r="L947" s="236" t="s">
        <v>1853</v>
      </c>
    </row>
    <row r="948" spans="7:12">
      <c r="G948" s="250" t="b">
        <f>IF(OR(INDEX(IHZ_HAZ_UNITTYPE,191,1)&lt;&gt;"",),IF(OR(INDEX(IHZ_HAZ_LOCATION,191,1)="",INDEX(IHZ_HAZ_AMOUNT,191,1)="",),FALSE,TRUE),TRUE)</f>
        <v>1</v>
      </c>
      <c r="H948" s="52" t="str">
        <f t="shared" si="29"/>
        <v>Row 191 - For a ‘Transport unit’ both ‘Location on board’ and ‘Amount’ are required</v>
      </c>
      <c r="I948" s="236" t="s">
        <v>1853</v>
      </c>
      <c r="J948" s="52" t="b">
        <f>IF(OR(INDEX(OHZ_HAZ_UNITTYPE,191,1)&lt;&gt;"",),IF(OR(INDEX(OHZ_HAZ_LOCATION,191,1)="",INDEX(OHZ_HAZ_AMOUNT,191,1)="",),FALSE,TRUE),TRUE)</f>
        <v>1</v>
      </c>
      <c r="K948" s="52" t="str">
        <f t="shared" si="30"/>
        <v>Row 191 - For a ‘Transport unit’ both ‘Location on board’ and ‘Amount’ are required</v>
      </c>
      <c r="L948" s="236" t="s">
        <v>1853</v>
      </c>
    </row>
    <row r="949" spans="7:12">
      <c r="G949" s="250" t="b">
        <f>IF(OR(INDEX(IHZ_HAZ_UNITTYPE,192,1)&lt;&gt;"",),IF(OR(INDEX(IHZ_HAZ_LOCATION,192,1)="",INDEX(IHZ_HAZ_AMOUNT,192,1)="",),FALSE,TRUE),TRUE)</f>
        <v>1</v>
      </c>
      <c r="H949" s="52" t="str">
        <f t="shared" si="29"/>
        <v>Row 192 - For a ‘Transport unit’ both ‘Location on board’ and ‘Amount’ are required</v>
      </c>
      <c r="I949" s="236" t="s">
        <v>1853</v>
      </c>
      <c r="J949" s="52" t="b">
        <f>IF(OR(INDEX(OHZ_HAZ_UNITTYPE,192,1)&lt;&gt;"",),IF(OR(INDEX(OHZ_HAZ_LOCATION,192,1)="",INDEX(OHZ_HAZ_AMOUNT,192,1)="",),FALSE,TRUE),TRUE)</f>
        <v>1</v>
      </c>
      <c r="K949" s="52" t="str">
        <f t="shared" si="30"/>
        <v>Row 192 - For a ‘Transport unit’ both ‘Location on board’ and ‘Amount’ are required</v>
      </c>
      <c r="L949" s="236" t="s">
        <v>1853</v>
      </c>
    </row>
    <row r="950" spans="7:12">
      <c r="G950" s="250" t="b">
        <f>IF(OR(INDEX(IHZ_HAZ_UNITTYPE,193,1)&lt;&gt;"",),IF(OR(INDEX(IHZ_HAZ_LOCATION,193,1)="",INDEX(IHZ_HAZ_AMOUNT,193,1)="",),FALSE,TRUE),TRUE)</f>
        <v>1</v>
      </c>
      <c r="H950" s="52" t="str">
        <f t="shared" si="29"/>
        <v>Row 193 - For a ‘Transport unit’ both ‘Location on board’ and ‘Amount’ are required</v>
      </c>
      <c r="I950" s="236" t="s">
        <v>1853</v>
      </c>
      <c r="J950" s="52" t="b">
        <f>IF(OR(INDEX(OHZ_HAZ_UNITTYPE,193,1)&lt;&gt;"",),IF(OR(INDEX(OHZ_HAZ_LOCATION,193,1)="",INDEX(OHZ_HAZ_AMOUNT,193,1)="",),FALSE,TRUE),TRUE)</f>
        <v>1</v>
      </c>
      <c r="K950" s="52" t="str">
        <f t="shared" si="30"/>
        <v>Row 193 - For a ‘Transport unit’ both ‘Location on board’ and ‘Amount’ are required</v>
      </c>
      <c r="L950" s="236" t="s">
        <v>1853</v>
      </c>
    </row>
    <row r="951" spans="7:12">
      <c r="G951" s="250" t="b">
        <f>IF(OR(INDEX(IHZ_HAZ_UNITTYPE,194,1)&lt;&gt;"",),IF(OR(INDEX(IHZ_HAZ_LOCATION,194,1)="",INDEX(IHZ_HAZ_AMOUNT,194,1)="",),FALSE,TRUE),TRUE)</f>
        <v>1</v>
      </c>
      <c r="H951" s="52" t="str">
        <f t="shared" ref="H951:H1007" si="31">T194&amp;$V$4</f>
        <v>Row 194 - For a ‘Transport unit’ both ‘Location on board’ and ‘Amount’ are required</v>
      </c>
      <c r="I951" s="236" t="s">
        <v>1853</v>
      </c>
      <c r="J951" s="52" t="b">
        <f>IF(OR(INDEX(OHZ_HAZ_UNITTYPE,194,1)&lt;&gt;"",),IF(OR(INDEX(OHZ_HAZ_LOCATION,194,1)="",INDEX(OHZ_HAZ_AMOUNT,194,1)="",),FALSE,TRUE),TRUE)</f>
        <v>1</v>
      </c>
      <c r="K951" s="52" t="str">
        <f t="shared" ref="K951:K1007" si="32">T194&amp;$V$4</f>
        <v>Row 194 - For a ‘Transport unit’ both ‘Location on board’ and ‘Amount’ are required</v>
      </c>
      <c r="L951" s="236" t="s">
        <v>1853</v>
      </c>
    </row>
    <row r="952" spans="7:12">
      <c r="G952" s="250" t="b">
        <f>IF(OR(INDEX(IHZ_HAZ_UNITTYPE,195,1)&lt;&gt;"",),IF(OR(INDEX(IHZ_HAZ_LOCATION,195,1)="",INDEX(IHZ_HAZ_AMOUNT,195,1)="",),FALSE,TRUE),TRUE)</f>
        <v>1</v>
      </c>
      <c r="H952" s="52" t="str">
        <f t="shared" si="31"/>
        <v>Row 195 - For a ‘Transport unit’ both ‘Location on board’ and ‘Amount’ are required</v>
      </c>
      <c r="I952" s="236" t="s">
        <v>1853</v>
      </c>
      <c r="J952" s="52" t="b">
        <f>IF(OR(INDEX(OHZ_HAZ_UNITTYPE,195,1)&lt;&gt;"",),IF(OR(INDEX(OHZ_HAZ_LOCATION,195,1)="",INDEX(OHZ_HAZ_AMOUNT,195,1)="",),FALSE,TRUE),TRUE)</f>
        <v>1</v>
      </c>
      <c r="K952" s="52" t="str">
        <f t="shared" si="32"/>
        <v>Row 195 - For a ‘Transport unit’ both ‘Location on board’ and ‘Amount’ are required</v>
      </c>
      <c r="L952" s="236" t="s">
        <v>1853</v>
      </c>
    </row>
    <row r="953" spans="7:12">
      <c r="G953" s="250" t="b">
        <f>IF(OR(INDEX(IHZ_HAZ_UNITTYPE,196,1)&lt;&gt;"",),IF(OR(INDEX(IHZ_HAZ_LOCATION,196,1)="",INDEX(IHZ_HAZ_AMOUNT,196,1)="",),FALSE,TRUE),TRUE)</f>
        <v>1</v>
      </c>
      <c r="H953" s="52" t="str">
        <f t="shared" si="31"/>
        <v>Row 196 - For a ‘Transport unit’ both ‘Location on board’ and ‘Amount’ are required</v>
      </c>
      <c r="I953" s="236" t="s">
        <v>1853</v>
      </c>
      <c r="J953" s="52" t="b">
        <f>IF(OR(INDEX(OHZ_HAZ_UNITTYPE,196,1)&lt;&gt;"",),IF(OR(INDEX(OHZ_HAZ_LOCATION,196,1)="",INDEX(OHZ_HAZ_AMOUNT,196,1)="",),FALSE,TRUE),TRUE)</f>
        <v>1</v>
      </c>
      <c r="K953" s="52" t="str">
        <f t="shared" si="32"/>
        <v>Row 196 - For a ‘Transport unit’ both ‘Location on board’ and ‘Amount’ are required</v>
      </c>
      <c r="L953" s="236" t="s">
        <v>1853</v>
      </c>
    </row>
    <row r="954" spans="7:12">
      <c r="G954" s="250" t="b">
        <f>IF(OR(INDEX(IHZ_HAZ_UNITTYPE,197,1)&lt;&gt;"",),IF(OR(INDEX(IHZ_HAZ_LOCATION,197,1)="",INDEX(IHZ_HAZ_AMOUNT,197,1)="",),FALSE,TRUE),TRUE)</f>
        <v>1</v>
      </c>
      <c r="H954" s="52" t="str">
        <f t="shared" si="31"/>
        <v>Row 197 - For a ‘Transport unit’ both ‘Location on board’ and ‘Amount’ are required</v>
      </c>
      <c r="I954" s="236" t="s">
        <v>1853</v>
      </c>
      <c r="J954" s="52" t="b">
        <f>IF(OR(INDEX(OHZ_HAZ_UNITTYPE,197,1)&lt;&gt;"",),IF(OR(INDEX(OHZ_HAZ_LOCATION,197,1)="",INDEX(OHZ_HAZ_AMOUNT,197,1)="",),FALSE,TRUE),TRUE)</f>
        <v>1</v>
      </c>
      <c r="K954" s="52" t="str">
        <f t="shared" si="32"/>
        <v>Row 197 - For a ‘Transport unit’ both ‘Location on board’ and ‘Amount’ are required</v>
      </c>
      <c r="L954" s="236" t="s">
        <v>1853</v>
      </c>
    </row>
    <row r="955" spans="7:12">
      <c r="G955" s="250" t="b">
        <f>IF(OR(INDEX(IHZ_HAZ_UNITTYPE,198,1)&lt;&gt;"",),IF(OR(INDEX(IHZ_HAZ_LOCATION,198,1)="",INDEX(IHZ_HAZ_AMOUNT,198,1)="",),FALSE,TRUE),TRUE)</f>
        <v>1</v>
      </c>
      <c r="H955" s="52" t="str">
        <f t="shared" si="31"/>
        <v>Row 198 - For a ‘Transport unit’ both ‘Location on board’ and ‘Amount’ are required</v>
      </c>
      <c r="I955" s="236" t="s">
        <v>1853</v>
      </c>
      <c r="J955" s="52" t="b">
        <f>IF(OR(INDEX(OHZ_HAZ_UNITTYPE,198,1)&lt;&gt;"",),IF(OR(INDEX(OHZ_HAZ_LOCATION,198,1)="",INDEX(OHZ_HAZ_AMOUNT,198,1)="",),FALSE,TRUE),TRUE)</f>
        <v>1</v>
      </c>
      <c r="K955" s="52" t="str">
        <f t="shared" si="32"/>
        <v>Row 198 - For a ‘Transport unit’ both ‘Location on board’ and ‘Amount’ are required</v>
      </c>
      <c r="L955" s="236" t="s">
        <v>1853</v>
      </c>
    </row>
    <row r="956" spans="7:12">
      <c r="G956" s="250" t="b">
        <f>IF(OR(INDEX(IHZ_HAZ_UNITTYPE,199,1)&lt;&gt;"",),IF(OR(INDEX(IHZ_HAZ_LOCATION,199,1)="",INDEX(IHZ_HAZ_AMOUNT,199,1)="",),FALSE,TRUE),TRUE)</f>
        <v>1</v>
      </c>
      <c r="H956" s="52" t="str">
        <f t="shared" si="31"/>
        <v>Row 199 - For a ‘Transport unit’ both ‘Location on board’ and ‘Amount’ are required</v>
      </c>
      <c r="I956" s="236" t="s">
        <v>1853</v>
      </c>
      <c r="J956" s="52" t="b">
        <f>IF(OR(INDEX(OHZ_HAZ_UNITTYPE,199,1)&lt;&gt;"",),IF(OR(INDEX(OHZ_HAZ_LOCATION,199,1)="",INDEX(OHZ_HAZ_AMOUNT,199,1)="",),FALSE,TRUE),TRUE)</f>
        <v>1</v>
      </c>
      <c r="K956" s="52" t="str">
        <f t="shared" si="32"/>
        <v>Row 199 - For a ‘Transport unit’ both ‘Location on board’ and ‘Amount’ are required</v>
      </c>
      <c r="L956" s="236" t="s">
        <v>1853</v>
      </c>
    </row>
    <row r="957" spans="7:12">
      <c r="G957" s="250" t="b">
        <f>IF(OR(INDEX(IHZ_HAZ_UNITTYPE,200,1)&lt;&gt;"",),IF(OR(INDEX(IHZ_HAZ_LOCATION,200,1)="",INDEX(IHZ_HAZ_AMOUNT,200,1)="",),FALSE,TRUE),TRUE)</f>
        <v>1</v>
      </c>
      <c r="H957" s="52" t="str">
        <f t="shared" si="31"/>
        <v>Row 200 - For a ‘Transport unit’ both ‘Location on board’ and ‘Amount’ are required</v>
      </c>
      <c r="I957" s="236" t="s">
        <v>1853</v>
      </c>
      <c r="J957" s="52" t="b">
        <f>IF(OR(INDEX(OHZ_HAZ_UNITTYPE,200,1)&lt;&gt;"",),IF(OR(INDEX(OHZ_HAZ_LOCATION,200,1)="",INDEX(OHZ_HAZ_AMOUNT,200,1)="",),FALSE,TRUE),TRUE)</f>
        <v>1</v>
      </c>
      <c r="K957" s="52" t="str">
        <f t="shared" si="32"/>
        <v>Row 200 - For a ‘Transport unit’ both ‘Location on board’ and ‘Amount’ are required</v>
      </c>
      <c r="L957" s="236" t="s">
        <v>1853</v>
      </c>
    </row>
    <row r="958" spans="7:12">
      <c r="G958" s="250" t="b">
        <f>IF(OR(INDEX(IHZ_HAZ_UNITTYPE,201,1)&lt;&gt;"",),IF(OR(INDEX(IHZ_HAZ_LOCATION,201,1)="",INDEX(IHZ_HAZ_AMOUNT,201,1)="",),FALSE,TRUE),TRUE)</f>
        <v>1</v>
      </c>
      <c r="H958" s="52" t="str">
        <f t="shared" si="31"/>
        <v>Row 201 - For a ‘Transport unit’ both ‘Location on board’ and ‘Amount’ are required</v>
      </c>
      <c r="I958" s="236" t="s">
        <v>1853</v>
      </c>
      <c r="J958" s="52" t="b">
        <f>IF(OR(INDEX(OHZ_HAZ_UNITTYPE,201,1)&lt;&gt;"",),IF(OR(INDEX(OHZ_HAZ_LOCATION,201,1)="",INDEX(OHZ_HAZ_AMOUNT,201,1)="",),FALSE,TRUE),TRUE)</f>
        <v>1</v>
      </c>
      <c r="K958" s="52" t="str">
        <f t="shared" si="32"/>
        <v>Row 201 - For a ‘Transport unit’ both ‘Location on board’ and ‘Amount’ are required</v>
      </c>
      <c r="L958" s="236" t="s">
        <v>1853</v>
      </c>
    </row>
    <row r="959" spans="7:12">
      <c r="G959" s="250" t="b">
        <f>IF(OR(INDEX(IHZ_HAZ_UNITTYPE,202,1)&lt;&gt;"",),IF(OR(INDEX(IHZ_HAZ_LOCATION,202,1)="",INDEX(IHZ_HAZ_AMOUNT,202,1)="",),FALSE,TRUE),TRUE)</f>
        <v>1</v>
      </c>
      <c r="H959" s="52" t="str">
        <f t="shared" si="31"/>
        <v>Row 202 - For a ‘Transport unit’ both ‘Location on board’ and ‘Amount’ are required</v>
      </c>
      <c r="I959" s="236" t="s">
        <v>1853</v>
      </c>
      <c r="J959" s="52" t="b">
        <f>IF(OR(INDEX(OHZ_HAZ_UNITTYPE,202,1)&lt;&gt;"",),IF(OR(INDEX(OHZ_HAZ_LOCATION,202,1)="",INDEX(OHZ_HAZ_AMOUNT,202,1)="",),FALSE,TRUE),TRUE)</f>
        <v>1</v>
      </c>
      <c r="K959" s="52" t="str">
        <f t="shared" si="32"/>
        <v>Row 202 - For a ‘Transport unit’ both ‘Location on board’ and ‘Amount’ are required</v>
      </c>
      <c r="L959" s="236" t="s">
        <v>1853</v>
      </c>
    </row>
    <row r="960" spans="7:12">
      <c r="G960" s="250" t="b">
        <f>IF(OR(INDEX(IHZ_HAZ_UNITTYPE,203,1)&lt;&gt;"",),IF(OR(INDEX(IHZ_HAZ_LOCATION,203,1)="",INDEX(IHZ_HAZ_AMOUNT,203,1)="",),FALSE,TRUE),TRUE)</f>
        <v>1</v>
      </c>
      <c r="H960" s="52" t="str">
        <f t="shared" si="31"/>
        <v>Row 203 - For a ‘Transport unit’ both ‘Location on board’ and ‘Amount’ are required</v>
      </c>
      <c r="I960" s="236" t="s">
        <v>1853</v>
      </c>
      <c r="J960" s="52" t="b">
        <f>IF(OR(INDEX(OHZ_HAZ_UNITTYPE,203,1)&lt;&gt;"",),IF(OR(INDEX(OHZ_HAZ_LOCATION,203,1)="",INDEX(OHZ_HAZ_AMOUNT,203,1)="",),FALSE,TRUE),TRUE)</f>
        <v>1</v>
      </c>
      <c r="K960" s="52" t="str">
        <f t="shared" si="32"/>
        <v>Row 203 - For a ‘Transport unit’ both ‘Location on board’ and ‘Amount’ are required</v>
      </c>
      <c r="L960" s="236" t="s">
        <v>1853</v>
      </c>
    </row>
    <row r="961" spans="7:12">
      <c r="G961" s="250" t="b">
        <f>IF(OR(INDEX(IHZ_HAZ_UNITTYPE,204,1)&lt;&gt;"",),IF(OR(INDEX(IHZ_HAZ_LOCATION,204,1)="",INDEX(IHZ_HAZ_AMOUNT,204,1)="",),FALSE,TRUE),TRUE)</f>
        <v>1</v>
      </c>
      <c r="H961" s="52" t="str">
        <f t="shared" si="31"/>
        <v>Row 204 - For a ‘Transport unit’ both ‘Location on board’ and ‘Amount’ are required</v>
      </c>
      <c r="I961" s="236" t="s">
        <v>1853</v>
      </c>
      <c r="J961" s="52" t="b">
        <f>IF(OR(INDEX(OHZ_HAZ_UNITTYPE,204,1)&lt;&gt;"",),IF(OR(INDEX(OHZ_HAZ_LOCATION,204,1)="",INDEX(OHZ_HAZ_AMOUNT,204,1)="",),FALSE,TRUE),TRUE)</f>
        <v>1</v>
      </c>
      <c r="K961" s="52" t="str">
        <f t="shared" si="32"/>
        <v>Row 204 - For a ‘Transport unit’ both ‘Location on board’ and ‘Amount’ are required</v>
      </c>
      <c r="L961" s="236" t="s">
        <v>1853</v>
      </c>
    </row>
    <row r="962" spans="7:12">
      <c r="G962" s="250" t="b">
        <f>IF(OR(INDEX(IHZ_HAZ_UNITTYPE,205,1)&lt;&gt;"",),IF(OR(INDEX(IHZ_HAZ_LOCATION,205,1)="",INDEX(IHZ_HAZ_AMOUNT,205,1)="",),FALSE,TRUE),TRUE)</f>
        <v>1</v>
      </c>
      <c r="H962" s="52" t="str">
        <f t="shared" si="31"/>
        <v>Row 205 - For a ‘Transport unit’ both ‘Location on board’ and ‘Amount’ are required</v>
      </c>
      <c r="I962" s="236" t="s">
        <v>1853</v>
      </c>
      <c r="J962" s="52" t="b">
        <f>IF(OR(INDEX(OHZ_HAZ_UNITTYPE,205,1)&lt;&gt;"",),IF(OR(INDEX(OHZ_HAZ_LOCATION,205,1)="",INDEX(OHZ_HAZ_AMOUNT,205,1)="",),FALSE,TRUE),TRUE)</f>
        <v>1</v>
      </c>
      <c r="K962" s="52" t="str">
        <f t="shared" si="32"/>
        <v>Row 205 - For a ‘Transport unit’ both ‘Location on board’ and ‘Amount’ are required</v>
      </c>
      <c r="L962" s="236" t="s">
        <v>1853</v>
      </c>
    </row>
    <row r="963" spans="7:12">
      <c r="G963" s="250" t="b">
        <f>IF(OR(INDEX(IHZ_HAZ_UNITTYPE,206,1)&lt;&gt;"",),IF(OR(INDEX(IHZ_HAZ_LOCATION,206,1)="",INDEX(IHZ_HAZ_AMOUNT,206,1)="",),FALSE,TRUE),TRUE)</f>
        <v>1</v>
      </c>
      <c r="H963" s="52" t="str">
        <f t="shared" si="31"/>
        <v>Row 206 - For a ‘Transport unit’ both ‘Location on board’ and ‘Amount’ are required</v>
      </c>
      <c r="I963" s="236" t="s">
        <v>1853</v>
      </c>
      <c r="J963" s="52" t="b">
        <f>IF(OR(INDEX(OHZ_HAZ_UNITTYPE,206,1)&lt;&gt;"",),IF(OR(INDEX(OHZ_HAZ_LOCATION,206,1)="",INDEX(OHZ_HAZ_AMOUNT,206,1)="",),FALSE,TRUE),TRUE)</f>
        <v>1</v>
      </c>
      <c r="K963" s="52" t="str">
        <f t="shared" si="32"/>
        <v>Row 206 - For a ‘Transport unit’ both ‘Location on board’ and ‘Amount’ are required</v>
      </c>
      <c r="L963" s="236" t="s">
        <v>1853</v>
      </c>
    </row>
    <row r="964" spans="7:12">
      <c r="G964" s="250" t="b">
        <f>IF(OR(INDEX(IHZ_HAZ_UNITTYPE,207,1)&lt;&gt;"",),IF(OR(INDEX(IHZ_HAZ_LOCATION,207,1)="",INDEX(IHZ_HAZ_AMOUNT,207,1)="",),FALSE,TRUE),TRUE)</f>
        <v>1</v>
      </c>
      <c r="H964" s="52" t="str">
        <f t="shared" si="31"/>
        <v>Row 207 - For a ‘Transport unit’ both ‘Location on board’ and ‘Amount’ are required</v>
      </c>
      <c r="I964" s="236" t="s">
        <v>1853</v>
      </c>
      <c r="J964" s="52" t="b">
        <f>IF(OR(INDEX(OHZ_HAZ_UNITTYPE,207,1)&lt;&gt;"",),IF(OR(INDEX(OHZ_HAZ_LOCATION,207,1)="",INDEX(OHZ_HAZ_AMOUNT,207,1)="",),FALSE,TRUE),TRUE)</f>
        <v>1</v>
      </c>
      <c r="K964" s="52" t="str">
        <f t="shared" si="32"/>
        <v>Row 207 - For a ‘Transport unit’ both ‘Location on board’ and ‘Amount’ are required</v>
      </c>
      <c r="L964" s="236" t="s">
        <v>1853</v>
      </c>
    </row>
    <row r="965" spans="7:12">
      <c r="G965" s="250" t="b">
        <f>IF(OR(INDEX(IHZ_HAZ_UNITTYPE,208,1)&lt;&gt;"",),IF(OR(INDEX(IHZ_HAZ_LOCATION,208,1)="",INDEX(IHZ_HAZ_AMOUNT,208,1)="",),FALSE,TRUE),TRUE)</f>
        <v>1</v>
      </c>
      <c r="H965" s="52" t="str">
        <f t="shared" si="31"/>
        <v>Row 208 - For a ‘Transport unit’ both ‘Location on board’ and ‘Amount’ are required</v>
      </c>
      <c r="I965" s="236" t="s">
        <v>1853</v>
      </c>
      <c r="J965" s="52" t="b">
        <f>IF(OR(INDEX(OHZ_HAZ_UNITTYPE,208,1)&lt;&gt;"",),IF(OR(INDEX(OHZ_HAZ_LOCATION,208,1)="",INDEX(OHZ_HAZ_AMOUNT,208,1)="",),FALSE,TRUE),TRUE)</f>
        <v>1</v>
      </c>
      <c r="K965" s="52" t="str">
        <f t="shared" si="32"/>
        <v>Row 208 - For a ‘Transport unit’ both ‘Location on board’ and ‘Amount’ are required</v>
      </c>
      <c r="L965" s="236" t="s">
        <v>1853</v>
      </c>
    </row>
    <row r="966" spans="7:12">
      <c r="G966" s="250" t="b">
        <f>IF(OR(INDEX(IHZ_HAZ_UNITTYPE,209,1)&lt;&gt;"",),IF(OR(INDEX(IHZ_HAZ_LOCATION,209,1)="",INDEX(IHZ_HAZ_AMOUNT,209,1)="",),FALSE,TRUE),TRUE)</f>
        <v>1</v>
      </c>
      <c r="H966" s="52" t="str">
        <f t="shared" si="31"/>
        <v>Row 209 - For a ‘Transport unit’ both ‘Location on board’ and ‘Amount’ are required</v>
      </c>
      <c r="I966" s="236" t="s">
        <v>1853</v>
      </c>
      <c r="J966" s="52" t="b">
        <f>IF(OR(INDEX(OHZ_HAZ_UNITTYPE,209,1)&lt;&gt;"",),IF(OR(INDEX(OHZ_HAZ_LOCATION,209,1)="",INDEX(OHZ_HAZ_AMOUNT,209,1)="",),FALSE,TRUE),TRUE)</f>
        <v>1</v>
      </c>
      <c r="K966" s="52" t="str">
        <f t="shared" si="32"/>
        <v>Row 209 - For a ‘Transport unit’ both ‘Location on board’ and ‘Amount’ are required</v>
      </c>
      <c r="L966" s="236" t="s">
        <v>1853</v>
      </c>
    </row>
    <row r="967" spans="7:12">
      <c r="G967" s="250" t="b">
        <f>IF(OR(INDEX(IHZ_HAZ_UNITTYPE,210,1)&lt;&gt;"",),IF(OR(INDEX(IHZ_HAZ_LOCATION,210,1)="",INDEX(IHZ_HAZ_AMOUNT,210,1)="",),FALSE,TRUE),TRUE)</f>
        <v>1</v>
      </c>
      <c r="H967" s="52" t="str">
        <f t="shared" si="31"/>
        <v>Row 210 - For a ‘Transport unit’ both ‘Location on board’ and ‘Amount’ are required</v>
      </c>
      <c r="I967" s="236" t="s">
        <v>1853</v>
      </c>
      <c r="J967" s="52" t="b">
        <f>IF(OR(INDEX(OHZ_HAZ_UNITTYPE,210,1)&lt;&gt;"",),IF(OR(INDEX(OHZ_HAZ_LOCATION,210,1)="",INDEX(OHZ_HAZ_AMOUNT,210,1)="",),FALSE,TRUE),TRUE)</f>
        <v>1</v>
      </c>
      <c r="K967" s="52" t="str">
        <f t="shared" si="32"/>
        <v>Row 210 - For a ‘Transport unit’ both ‘Location on board’ and ‘Amount’ are required</v>
      </c>
      <c r="L967" s="236" t="s">
        <v>1853</v>
      </c>
    </row>
    <row r="968" spans="7:12">
      <c r="G968" s="250" t="b">
        <f>IF(OR(INDEX(IHZ_HAZ_UNITTYPE,211,1)&lt;&gt;"",),IF(OR(INDEX(IHZ_HAZ_LOCATION,211,1)="",INDEX(IHZ_HAZ_AMOUNT,211,1)="",),FALSE,TRUE),TRUE)</f>
        <v>1</v>
      </c>
      <c r="H968" s="52" t="str">
        <f t="shared" si="31"/>
        <v>Row 211 - For a ‘Transport unit’ both ‘Location on board’ and ‘Amount’ are required</v>
      </c>
      <c r="I968" s="236" t="s">
        <v>1853</v>
      </c>
      <c r="J968" s="52" t="b">
        <f>IF(OR(INDEX(OHZ_HAZ_UNITTYPE,211,1)&lt;&gt;"",),IF(OR(INDEX(OHZ_HAZ_LOCATION,211,1)="",INDEX(OHZ_HAZ_AMOUNT,211,1)="",),FALSE,TRUE),TRUE)</f>
        <v>1</v>
      </c>
      <c r="K968" s="52" t="str">
        <f t="shared" si="32"/>
        <v>Row 211 - For a ‘Transport unit’ both ‘Location on board’ and ‘Amount’ are required</v>
      </c>
      <c r="L968" s="236" t="s">
        <v>1853</v>
      </c>
    </row>
    <row r="969" spans="7:12">
      <c r="G969" s="250" t="b">
        <f>IF(OR(INDEX(IHZ_HAZ_UNITTYPE,212,1)&lt;&gt;"",),IF(OR(INDEX(IHZ_HAZ_LOCATION,212,1)="",INDEX(IHZ_HAZ_AMOUNT,212,1)="",),FALSE,TRUE),TRUE)</f>
        <v>1</v>
      </c>
      <c r="H969" s="52" t="str">
        <f t="shared" si="31"/>
        <v>Row 212 - For a ‘Transport unit’ both ‘Location on board’ and ‘Amount’ are required</v>
      </c>
      <c r="I969" s="236" t="s">
        <v>1853</v>
      </c>
      <c r="J969" s="52" t="b">
        <f>IF(OR(INDEX(OHZ_HAZ_UNITTYPE,212,1)&lt;&gt;"",),IF(OR(INDEX(OHZ_HAZ_LOCATION,212,1)="",INDEX(OHZ_HAZ_AMOUNT,212,1)="",),FALSE,TRUE),TRUE)</f>
        <v>1</v>
      </c>
      <c r="K969" s="52" t="str">
        <f t="shared" si="32"/>
        <v>Row 212 - For a ‘Transport unit’ both ‘Location on board’ and ‘Amount’ are required</v>
      </c>
      <c r="L969" s="236" t="s">
        <v>1853</v>
      </c>
    </row>
    <row r="970" spans="7:12">
      <c r="G970" s="250" t="b">
        <f>IF(OR(INDEX(IHZ_HAZ_UNITTYPE,213,1)&lt;&gt;"",),IF(OR(INDEX(IHZ_HAZ_LOCATION,213,1)="",INDEX(IHZ_HAZ_AMOUNT,213,1)="",),FALSE,TRUE),TRUE)</f>
        <v>1</v>
      </c>
      <c r="H970" s="52" t="str">
        <f t="shared" si="31"/>
        <v>Row 213 - For a ‘Transport unit’ both ‘Location on board’ and ‘Amount’ are required</v>
      </c>
      <c r="I970" s="236" t="s">
        <v>1853</v>
      </c>
      <c r="J970" s="52" t="b">
        <f>IF(OR(INDEX(OHZ_HAZ_UNITTYPE,213,1)&lt;&gt;"",),IF(OR(INDEX(OHZ_HAZ_LOCATION,213,1)="",INDEX(OHZ_HAZ_AMOUNT,213,1)="",),FALSE,TRUE),TRUE)</f>
        <v>1</v>
      </c>
      <c r="K970" s="52" t="str">
        <f t="shared" si="32"/>
        <v>Row 213 - For a ‘Transport unit’ both ‘Location on board’ and ‘Amount’ are required</v>
      </c>
      <c r="L970" s="236" t="s">
        <v>1853</v>
      </c>
    </row>
    <row r="971" spans="7:12">
      <c r="G971" s="250" t="b">
        <f>IF(OR(INDEX(IHZ_HAZ_UNITTYPE,214,1)&lt;&gt;"",),IF(OR(INDEX(IHZ_HAZ_LOCATION,214,1)="",INDEX(IHZ_HAZ_AMOUNT,214,1)="",),FALSE,TRUE),TRUE)</f>
        <v>1</v>
      </c>
      <c r="H971" s="52" t="str">
        <f t="shared" si="31"/>
        <v>Row 214 - For a ‘Transport unit’ both ‘Location on board’ and ‘Amount’ are required</v>
      </c>
      <c r="I971" s="236" t="s">
        <v>1853</v>
      </c>
      <c r="J971" s="52" t="b">
        <f>IF(OR(INDEX(OHZ_HAZ_UNITTYPE,214,1)&lt;&gt;"",),IF(OR(INDEX(OHZ_HAZ_LOCATION,214,1)="",INDEX(OHZ_HAZ_AMOUNT,214,1)="",),FALSE,TRUE),TRUE)</f>
        <v>1</v>
      </c>
      <c r="K971" s="52" t="str">
        <f t="shared" si="32"/>
        <v>Row 214 - For a ‘Transport unit’ both ‘Location on board’ and ‘Amount’ are required</v>
      </c>
      <c r="L971" s="236" t="s">
        <v>1853</v>
      </c>
    </row>
    <row r="972" spans="7:12">
      <c r="G972" s="250" t="b">
        <f>IF(OR(INDEX(IHZ_HAZ_UNITTYPE,215,1)&lt;&gt;"",),IF(OR(INDEX(IHZ_HAZ_LOCATION,215,1)="",INDEX(IHZ_HAZ_AMOUNT,215,1)="",),FALSE,TRUE),TRUE)</f>
        <v>1</v>
      </c>
      <c r="H972" s="52" t="str">
        <f t="shared" si="31"/>
        <v>Row 215 - For a ‘Transport unit’ both ‘Location on board’ and ‘Amount’ are required</v>
      </c>
      <c r="I972" s="236" t="s">
        <v>1853</v>
      </c>
      <c r="J972" s="52" t="b">
        <f>IF(OR(INDEX(OHZ_HAZ_UNITTYPE,215,1)&lt;&gt;"",),IF(OR(INDEX(OHZ_HAZ_LOCATION,215,1)="",INDEX(OHZ_HAZ_AMOUNT,215,1)="",),FALSE,TRUE),TRUE)</f>
        <v>1</v>
      </c>
      <c r="K972" s="52" t="str">
        <f t="shared" si="32"/>
        <v>Row 215 - For a ‘Transport unit’ both ‘Location on board’ and ‘Amount’ are required</v>
      </c>
      <c r="L972" s="236" t="s">
        <v>1853</v>
      </c>
    </row>
    <row r="973" spans="7:12">
      <c r="G973" s="250" t="b">
        <f>IF(OR(INDEX(IHZ_HAZ_UNITTYPE,216,1)&lt;&gt;"",),IF(OR(INDEX(IHZ_HAZ_LOCATION,216,1)="",INDEX(IHZ_HAZ_AMOUNT,216,1)="",),FALSE,TRUE),TRUE)</f>
        <v>1</v>
      </c>
      <c r="H973" s="52" t="str">
        <f t="shared" si="31"/>
        <v>Row 216 - For a ‘Transport unit’ both ‘Location on board’ and ‘Amount’ are required</v>
      </c>
      <c r="I973" s="236" t="s">
        <v>1853</v>
      </c>
      <c r="J973" s="52" t="b">
        <f>IF(OR(INDEX(OHZ_HAZ_UNITTYPE,216,1)&lt;&gt;"",),IF(OR(INDEX(OHZ_HAZ_LOCATION,216,1)="",INDEX(OHZ_HAZ_AMOUNT,216,1)="",),FALSE,TRUE),TRUE)</f>
        <v>1</v>
      </c>
      <c r="K973" s="52" t="str">
        <f t="shared" si="32"/>
        <v>Row 216 - For a ‘Transport unit’ both ‘Location on board’ and ‘Amount’ are required</v>
      </c>
      <c r="L973" s="236" t="s">
        <v>1853</v>
      </c>
    </row>
    <row r="974" spans="7:12">
      <c r="G974" s="250" t="b">
        <f>IF(OR(INDEX(IHZ_HAZ_UNITTYPE,217,1)&lt;&gt;"",),IF(OR(INDEX(IHZ_HAZ_LOCATION,217,1)="",INDEX(IHZ_HAZ_AMOUNT,217,1)="",),FALSE,TRUE),TRUE)</f>
        <v>1</v>
      </c>
      <c r="H974" s="52" t="str">
        <f t="shared" si="31"/>
        <v>Row 217 - For a ‘Transport unit’ both ‘Location on board’ and ‘Amount’ are required</v>
      </c>
      <c r="I974" s="236" t="s">
        <v>1853</v>
      </c>
      <c r="J974" s="52" t="b">
        <f>IF(OR(INDEX(OHZ_HAZ_UNITTYPE,217,1)&lt;&gt;"",),IF(OR(INDEX(OHZ_HAZ_LOCATION,217,1)="",INDEX(OHZ_HAZ_AMOUNT,217,1)="",),FALSE,TRUE),TRUE)</f>
        <v>1</v>
      </c>
      <c r="K974" s="52" t="str">
        <f t="shared" si="32"/>
        <v>Row 217 - For a ‘Transport unit’ both ‘Location on board’ and ‘Amount’ are required</v>
      </c>
      <c r="L974" s="236" t="s">
        <v>1853</v>
      </c>
    </row>
    <row r="975" spans="7:12">
      <c r="G975" s="250" t="b">
        <f>IF(OR(INDEX(IHZ_HAZ_UNITTYPE,218,1)&lt;&gt;"",),IF(OR(INDEX(IHZ_HAZ_LOCATION,218,1)="",INDEX(IHZ_HAZ_AMOUNT,218,1)="",),FALSE,TRUE),TRUE)</f>
        <v>1</v>
      </c>
      <c r="H975" s="52" t="str">
        <f t="shared" si="31"/>
        <v>Row 218 - For a ‘Transport unit’ both ‘Location on board’ and ‘Amount’ are required</v>
      </c>
      <c r="I975" s="236" t="s">
        <v>1853</v>
      </c>
      <c r="J975" s="52" t="b">
        <f>IF(OR(INDEX(OHZ_HAZ_UNITTYPE,218,1)&lt;&gt;"",),IF(OR(INDEX(OHZ_HAZ_LOCATION,218,1)="",INDEX(OHZ_HAZ_AMOUNT,218,1)="",),FALSE,TRUE),TRUE)</f>
        <v>1</v>
      </c>
      <c r="K975" s="52" t="str">
        <f t="shared" si="32"/>
        <v>Row 218 - For a ‘Transport unit’ both ‘Location on board’ and ‘Amount’ are required</v>
      </c>
      <c r="L975" s="236" t="s">
        <v>1853</v>
      </c>
    </row>
    <row r="976" spans="7:12">
      <c r="G976" s="250" t="b">
        <f>IF(OR(INDEX(IHZ_HAZ_UNITTYPE,219,1)&lt;&gt;"",),IF(OR(INDEX(IHZ_HAZ_LOCATION,219,1)="",INDEX(IHZ_HAZ_AMOUNT,219,1)="",),FALSE,TRUE),TRUE)</f>
        <v>1</v>
      </c>
      <c r="H976" s="52" t="str">
        <f t="shared" si="31"/>
        <v>Row 219 - For a ‘Transport unit’ both ‘Location on board’ and ‘Amount’ are required</v>
      </c>
      <c r="I976" s="236" t="s">
        <v>1853</v>
      </c>
      <c r="J976" s="52" t="b">
        <f>IF(OR(INDEX(OHZ_HAZ_UNITTYPE,219,1)&lt;&gt;"",),IF(OR(INDEX(OHZ_HAZ_LOCATION,219,1)="",INDEX(OHZ_HAZ_AMOUNT,219,1)="",),FALSE,TRUE),TRUE)</f>
        <v>1</v>
      </c>
      <c r="K976" s="52" t="str">
        <f t="shared" si="32"/>
        <v>Row 219 - For a ‘Transport unit’ both ‘Location on board’ and ‘Amount’ are required</v>
      </c>
      <c r="L976" s="236" t="s">
        <v>1853</v>
      </c>
    </row>
    <row r="977" spans="7:12">
      <c r="G977" s="250" t="b">
        <f>IF(OR(INDEX(IHZ_HAZ_UNITTYPE,220,1)&lt;&gt;"",),IF(OR(INDEX(IHZ_HAZ_LOCATION,220,1)="",INDEX(IHZ_HAZ_AMOUNT,220,1)="",),FALSE,TRUE),TRUE)</f>
        <v>1</v>
      </c>
      <c r="H977" s="52" t="str">
        <f t="shared" si="31"/>
        <v>Row 220 - For a ‘Transport unit’ both ‘Location on board’ and ‘Amount’ are required</v>
      </c>
      <c r="I977" s="236" t="s">
        <v>1853</v>
      </c>
      <c r="J977" s="52" t="b">
        <f>IF(OR(INDEX(OHZ_HAZ_UNITTYPE,220,1)&lt;&gt;"",),IF(OR(INDEX(OHZ_HAZ_LOCATION,220,1)="",INDEX(OHZ_HAZ_AMOUNT,220,1)="",),FALSE,TRUE),TRUE)</f>
        <v>1</v>
      </c>
      <c r="K977" s="52" t="str">
        <f t="shared" si="32"/>
        <v>Row 220 - For a ‘Transport unit’ both ‘Location on board’ and ‘Amount’ are required</v>
      </c>
      <c r="L977" s="236" t="s">
        <v>1853</v>
      </c>
    </row>
    <row r="978" spans="7:12">
      <c r="G978" s="250" t="b">
        <f>IF(OR(INDEX(IHZ_HAZ_UNITTYPE,221,1)&lt;&gt;"",),IF(OR(INDEX(IHZ_HAZ_LOCATION,221,1)="",INDEX(IHZ_HAZ_AMOUNT,221,1)="",),FALSE,TRUE),TRUE)</f>
        <v>1</v>
      </c>
      <c r="H978" s="52" t="str">
        <f t="shared" si="31"/>
        <v>Row 221 - For a ‘Transport unit’ both ‘Location on board’ and ‘Amount’ are required</v>
      </c>
      <c r="I978" s="236" t="s">
        <v>1853</v>
      </c>
      <c r="J978" s="52" t="b">
        <f>IF(OR(INDEX(OHZ_HAZ_UNITTYPE,221,1)&lt;&gt;"",),IF(OR(INDEX(OHZ_HAZ_LOCATION,221,1)="",INDEX(OHZ_HAZ_AMOUNT,221,1)="",),FALSE,TRUE),TRUE)</f>
        <v>1</v>
      </c>
      <c r="K978" s="52" t="str">
        <f t="shared" si="32"/>
        <v>Row 221 - For a ‘Transport unit’ both ‘Location on board’ and ‘Amount’ are required</v>
      </c>
      <c r="L978" s="236" t="s">
        <v>1853</v>
      </c>
    </row>
    <row r="979" spans="7:12">
      <c r="G979" s="250" t="b">
        <f>IF(OR(INDEX(IHZ_HAZ_UNITTYPE,222,1)&lt;&gt;"",),IF(OR(INDEX(IHZ_HAZ_LOCATION,222,1)="",INDEX(IHZ_HAZ_AMOUNT,222,1)="",),FALSE,TRUE),TRUE)</f>
        <v>1</v>
      </c>
      <c r="H979" s="52" t="str">
        <f t="shared" si="31"/>
        <v>Row 222 - For a ‘Transport unit’ both ‘Location on board’ and ‘Amount’ are required</v>
      </c>
      <c r="I979" s="236" t="s">
        <v>1853</v>
      </c>
      <c r="J979" s="52" t="b">
        <f>IF(OR(INDEX(OHZ_HAZ_UNITTYPE,222,1)&lt;&gt;"",),IF(OR(INDEX(OHZ_HAZ_LOCATION,222,1)="",INDEX(OHZ_HAZ_AMOUNT,222,1)="",),FALSE,TRUE),TRUE)</f>
        <v>1</v>
      </c>
      <c r="K979" s="52" t="str">
        <f t="shared" si="32"/>
        <v>Row 222 - For a ‘Transport unit’ both ‘Location on board’ and ‘Amount’ are required</v>
      </c>
      <c r="L979" s="236" t="s">
        <v>1853</v>
      </c>
    </row>
    <row r="980" spans="7:12">
      <c r="G980" s="250" t="b">
        <f>IF(OR(INDEX(IHZ_HAZ_UNITTYPE,223,1)&lt;&gt;"",),IF(OR(INDEX(IHZ_HAZ_LOCATION,223,1)="",INDEX(IHZ_HAZ_AMOUNT,223,1)="",),FALSE,TRUE),TRUE)</f>
        <v>1</v>
      </c>
      <c r="H980" s="52" t="str">
        <f t="shared" si="31"/>
        <v>Row 223 - For a ‘Transport unit’ both ‘Location on board’ and ‘Amount’ are required</v>
      </c>
      <c r="I980" s="236" t="s">
        <v>1853</v>
      </c>
      <c r="J980" s="52" t="b">
        <f>IF(OR(INDEX(OHZ_HAZ_UNITTYPE,223,1)&lt;&gt;"",),IF(OR(INDEX(OHZ_HAZ_LOCATION,223,1)="",INDEX(OHZ_HAZ_AMOUNT,223,1)="",),FALSE,TRUE),TRUE)</f>
        <v>1</v>
      </c>
      <c r="K980" s="52" t="str">
        <f t="shared" si="32"/>
        <v>Row 223 - For a ‘Transport unit’ both ‘Location on board’ and ‘Amount’ are required</v>
      </c>
      <c r="L980" s="236" t="s">
        <v>1853</v>
      </c>
    </row>
    <row r="981" spans="7:12">
      <c r="G981" s="250" t="b">
        <f>IF(OR(INDEX(IHZ_HAZ_UNITTYPE,224,1)&lt;&gt;"",),IF(OR(INDEX(IHZ_HAZ_LOCATION,224,1)="",INDEX(IHZ_HAZ_AMOUNT,224,1)="",),FALSE,TRUE),TRUE)</f>
        <v>1</v>
      </c>
      <c r="H981" s="52" t="str">
        <f t="shared" si="31"/>
        <v>Row 224 - For a ‘Transport unit’ both ‘Location on board’ and ‘Amount’ are required</v>
      </c>
      <c r="I981" s="236" t="s">
        <v>1853</v>
      </c>
      <c r="J981" s="52" t="b">
        <f>IF(OR(INDEX(OHZ_HAZ_UNITTYPE,224,1)&lt;&gt;"",),IF(OR(INDEX(OHZ_HAZ_LOCATION,224,1)="",INDEX(OHZ_HAZ_AMOUNT,224,1)="",),FALSE,TRUE),TRUE)</f>
        <v>1</v>
      </c>
      <c r="K981" s="52" t="str">
        <f t="shared" si="32"/>
        <v>Row 224 - For a ‘Transport unit’ both ‘Location on board’ and ‘Amount’ are required</v>
      </c>
      <c r="L981" s="236" t="s">
        <v>1853</v>
      </c>
    </row>
    <row r="982" spans="7:12">
      <c r="G982" s="250" t="b">
        <f>IF(OR(INDEX(IHZ_HAZ_UNITTYPE,225,1)&lt;&gt;"",),IF(OR(INDEX(IHZ_HAZ_LOCATION,225,1)="",INDEX(IHZ_HAZ_AMOUNT,225,1)="",),FALSE,TRUE),TRUE)</f>
        <v>1</v>
      </c>
      <c r="H982" s="52" t="str">
        <f t="shared" si="31"/>
        <v>Row 225 - For a ‘Transport unit’ both ‘Location on board’ and ‘Amount’ are required</v>
      </c>
      <c r="I982" s="236" t="s">
        <v>1853</v>
      </c>
      <c r="J982" s="52" t="b">
        <f>IF(OR(INDEX(OHZ_HAZ_UNITTYPE,225,1)&lt;&gt;"",),IF(OR(INDEX(OHZ_HAZ_LOCATION,225,1)="",INDEX(OHZ_HAZ_AMOUNT,225,1)="",),FALSE,TRUE),TRUE)</f>
        <v>1</v>
      </c>
      <c r="K982" s="52" t="str">
        <f t="shared" si="32"/>
        <v>Row 225 - For a ‘Transport unit’ both ‘Location on board’ and ‘Amount’ are required</v>
      </c>
      <c r="L982" s="236" t="s">
        <v>1853</v>
      </c>
    </row>
    <row r="983" spans="7:12">
      <c r="G983" s="250" t="b">
        <f>IF(OR(INDEX(IHZ_HAZ_UNITTYPE,226,1)&lt;&gt;"",),IF(OR(INDEX(IHZ_HAZ_LOCATION,226,1)="",INDEX(IHZ_HAZ_AMOUNT,226,1)="",),FALSE,TRUE),TRUE)</f>
        <v>1</v>
      </c>
      <c r="H983" s="52" t="str">
        <f t="shared" si="31"/>
        <v>Row 226 - For a ‘Transport unit’ both ‘Location on board’ and ‘Amount’ are required</v>
      </c>
      <c r="I983" s="236" t="s">
        <v>1853</v>
      </c>
      <c r="J983" s="52" t="b">
        <f>IF(OR(INDEX(OHZ_HAZ_UNITTYPE,226,1)&lt;&gt;"",),IF(OR(INDEX(OHZ_HAZ_LOCATION,226,1)="",INDEX(OHZ_HAZ_AMOUNT,226,1)="",),FALSE,TRUE),TRUE)</f>
        <v>1</v>
      </c>
      <c r="K983" s="52" t="str">
        <f t="shared" si="32"/>
        <v>Row 226 - For a ‘Transport unit’ both ‘Location on board’ and ‘Amount’ are required</v>
      </c>
      <c r="L983" s="236" t="s">
        <v>1853</v>
      </c>
    </row>
    <row r="984" spans="7:12">
      <c r="G984" s="250" t="b">
        <f>IF(OR(INDEX(IHZ_HAZ_UNITTYPE,227,1)&lt;&gt;"",),IF(OR(INDEX(IHZ_HAZ_LOCATION,227,1)="",INDEX(IHZ_HAZ_AMOUNT,227,1)="",),FALSE,TRUE),TRUE)</f>
        <v>1</v>
      </c>
      <c r="H984" s="52" t="str">
        <f t="shared" si="31"/>
        <v>Row 227 - For a ‘Transport unit’ both ‘Location on board’ and ‘Amount’ are required</v>
      </c>
      <c r="I984" s="236" t="s">
        <v>1853</v>
      </c>
      <c r="J984" s="52" t="b">
        <f>IF(OR(INDEX(OHZ_HAZ_UNITTYPE,227,1)&lt;&gt;"",),IF(OR(INDEX(OHZ_HAZ_LOCATION,227,1)="",INDEX(OHZ_HAZ_AMOUNT,227,1)="",),FALSE,TRUE),TRUE)</f>
        <v>1</v>
      </c>
      <c r="K984" s="52" t="str">
        <f t="shared" si="32"/>
        <v>Row 227 - For a ‘Transport unit’ both ‘Location on board’ and ‘Amount’ are required</v>
      </c>
      <c r="L984" s="236" t="s">
        <v>1853</v>
      </c>
    </row>
    <row r="985" spans="7:12">
      <c r="G985" s="250" t="b">
        <f>IF(OR(INDEX(IHZ_HAZ_UNITTYPE,228,1)&lt;&gt;"",),IF(OR(INDEX(IHZ_HAZ_LOCATION,228,1)="",INDEX(IHZ_HAZ_AMOUNT,228,1)="",),FALSE,TRUE),TRUE)</f>
        <v>1</v>
      </c>
      <c r="H985" s="52" t="str">
        <f t="shared" si="31"/>
        <v>Row 228 - For a ‘Transport unit’ both ‘Location on board’ and ‘Amount’ are required</v>
      </c>
      <c r="I985" s="236" t="s">
        <v>1853</v>
      </c>
      <c r="J985" s="52" t="b">
        <f>IF(OR(INDEX(OHZ_HAZ_UNITTYPE,228,1)&lt;&gt;"",),IF(OR(INDEX(OHZ_HAZ_LOCATION,228,1)="",INDEX(OHZ_HAZ_AMOUNT,228,1)="",),FALSE,TRUE),TRUE)</f>
        <v>1</v>
      </c>
      <c r="K985" s="52" t="str">
        <f t="shared" si="32"/>
        <v>Row 228 - For a ‘Transport unit’ both ‘Location on board’ and ‘Amount’ are required</v>
      </c>
      <c r="L985" s="236" t="s">
        <v>1853</v>
      </c>
    </row>
    <row r="986" spans="7:12">
      <c r="G986" s="250" t="b">
        <f>IF(OR(INDEX(IHZ_HAZ_UNITTYPE,229,1)&lt;&gt;"",),IF(OR(INDEX(IHZ_HAZ_LOCATION,229,1)="",INDEX(IHZ_HAZ_AMOUNT,229,1)="",),FALSE,TRUE),TRUE)</f>
        <v>1</v>
      </c>
      <c r="H986" s="52" t="str">
        <f t="shared" si="31"/>
        <v>Row 229 - For a ‘Transport unit’ both ‘Location on board’ and ‘Amount’ are required</v>
      </c>
      <c r="I986" s="236" t="s">
        <v>1853</v>
      </c>
      <c r="J986" s="52" t="b">
        <f>IF(OR(INDEX(OHZ_HAZ_UNITTYPE,229,1)&lt;&gt;"",),IF(OR(INDEX(OHZ_HAZ_LOCATION,229,1)="",INDEX(OHZ_HAZ_AMOUNT,229,1)="",),FALSE,TRUE),TRUE)</f>
        <v>1</v>
      </c>
      <c r="K986" s="52" t="str">
        <f t="shared" si="32"/>
        <v>Row 229 - For a ‘Transport unit’ both ‘Location on board’ and ‘Amount’ are required</v>
      </c>
      <c r="L986" s="236" t="s">
        <v>1853</v>
      </c>
    </row>
    <row r="987" spans="7:12">
      <c r="G987" s="250" t="b">
        <f>IF(OR(INDEX(IHZ_HAZ_UNITTYPE,230,1)&lt;&gt;"",),IF(OR(INDEX(IHZ_HAZ_LOCATION,230,1)="",INDEX(IHZ_HAZ_AMOUNT,230,1)="",),FALSE,TRUE),TRUE)</f>
        <v>1</v>
      </c>
      <c r="H987" s="52" t="str">
        <f t="shared" si="31"/>
        <v>Row 230 - For a ‘Transport unit’ both ‘Location on board’ and ‘Amount’ are required</v>
      </c>
      <c r="I987" s="236" t="s">
        <v>1853</v>
      </c>
      <c r="J987" s="52" t="b">
        <f>IF(OR(INDEX(OHZ_HAZ_UNITTYPE,230,1)&lt;&gt;"",),IF(OR(INDEX(OHZ_HAZ_LOCATION,230,1)="",INDEX(OHZ_HAZ_AMOUNT,230,1)="",),FALSE,TRUE),TRUE)</f>
        <v>1</v>
      </c>
      <c r="K987" s="52" t="str">
        <f t="shared" si="32"/>
        <v>Row 230 - For a ‘Transport unit’ both ‘Location on board’ and ‘Amount’ are required</v>
      </c>
      <c r="L987" s="236" t="s">
        <v>1853</v>
      </c>
    </row>
    <row r="988" spans="7:12">
      <c r="G988" s="250" t="b">
        <f>IF(OR(INDEX(IHZ_HAZ_UNITTYPE,231,1)&lt;&gt;"",),IF(OR(INDEX(IHZ_HAZ_LOCATION,231,1)="",INDEX(IHZ_HAZ_AMOUNT,231,1)="",),FALSE,TRUE),TRUE)</f>
        <v>1</v>
      </c>
      <c r="H988" s="52" t="str">
        <f t="shared" si="31"/>
        <v>Row 231 - For a ‘Transport unit’ both ‘Location on board’ and ‘Amount’ are required</v>
      </c>
      <c r="I988" s="236" t="s">
        <v>1853</v>
      </c>
      <c r="J988" s="52" t="b">
        <f>IF(OR(INDEX(OHZ_HAZ_UNITTYPE,231,1)&lt;&gt;"",),IF(OR(INDEX(OHZ_HAZ_LOCATION,231,1)="",INDEX(OHZ_HAZ_AMOUNT,231,1)="",),FALSE,TRUE),TRUE)</f>
        <v>1</v>
      </c>
      <c r="K988" s="52" t="str">
        <f t="shared" si="32"/>
        <v>Row 231 - For a ‘Transport unit’ both ‘Location on board’ and ‘Amount’ are required</v>
      </c>
      <c r="L988" s="236" t="s">
        <v>1853</v>
      </c>
    </row>
    <row r="989" spans="7:12">
      <c r="G989" s="250" t="b">
        <f>IF(OR(INDEX(IHZ_HAZ_UNITTYPE,232,1)&lt;&gt;"",),IF(OR(INDEX(IHZ_HAZ_LOCATION,232,1)="",INDEX(IHZ_HAZ_AMOUNT,232,1)="",),FALSE,TRUE),TRUE)</f>
        <v>1</v>
      </c>
      <c r="H989" s="52" t="str">
        <f t="shared" si="31"/>
        <v>Row 232 - For a ‘Transport unit’ both ‘Location on board’ and ‘Amount’ are required</v>
      </c>
      <c r="I989" s="236" t="s">
        <v>1853</v>
      </c>
      <c r="J989" s="52" t="b">
        <f>IF(OR(INDEX(OHZ_HAZ_UNITTYPE,232,1)&lt;&gt;"",),IF(OR(INDEX(OHZ_HAZ_LOCATION,232,1)="",INDEX(OHZ_HAZ_AMOUNT,232,1)="",),FALSE,TRUE),TRUE)</f>
        <v>1</v>
      </c>
      <c r="K989" s="52" t="str">
        <f t="shared" si="32"/>
        <v>Row 232 - For a ‘Transport unit’ both ‘Location on board’ and ‘Amount’ are required</v>
      </c>
      <c r="L989" s="236" t="s">
        <v>1853</v>
      </c>
    </row>
    <row r="990" spans="7:12">
      <c r="G990" s="250" t="b">
        <f>IF(OR(INDEX(IHZ_HAZ_UNITTYPE,233,1)&lt;&gt;"",),IF(OR(INDEX(IHZ_HAZ_LOCATION,233,1)="",INDEX(IHZ_HAZ_AMOUNT,233,1)="",),FALSE,TRUE),TRUE)</f>
        <v>1</v>
      </c>
      <c r="H990" s="52" t="str">
        <f t="shared" si="31"/>
        <v>Row 233 - For a ‘Transport unit’ both ‘Location on board’ and ‘Amount’ are required</v>
      </c>
      <c r="I990" s="236" t="s">
        <v>1853</v>
      </c>
      <c r="J990" s="52" t="b">
        <f>IF(OR(INDEX(OHZ_HAZ_UNITTYPE,233,1)&lt;&gt;"",),IF(OR(INDEX(OHZ_HAZ_LOCATION,233,1)="",INDEX(OHZ_HAZ_AMOUNT,233,1)="",),FALSE,TRUE),TRUE)</f>
        <v>1</v>
      </c>
      <c r="K990" s="52" t="str">
        <f t="shared" si="32"/>
        <v>Row 233 - For a ‘Transport unit’ both ‘Location on board’ and ‘Amount’ are required</v>
      </c>
      <c r="L990" s="236" t="s">
        <v>1853</v>
      </c>
    </row>
    <row r="991" spans="7:12">
      <c r="G991" s="250" t="b">
        <f>IF(OR(INDEX(IHZ_HAZ_UNITTYPE,234,1)&lt;&gt;"",),IF(OR(INDEX(IHZ_HAZ_LOCATION,234,1)="",INDEX(IHZ_HAZ_AMOUNT,234,1)="",),FALSE,TRUE),TRUE)</f>
        <v>1</v>
      </c>
      <c r="H991" s="52" t="str">
        <f t="shared" si="31"/>
        <v>Row 234 - For a ‘Transport unit’ both ‘Location on board’ and ‘Amount’ are required</v>
      </c>
      <c r="I991" s="236" t="s">
        <v>1853</v>
      </c>
      <c r="J991" s="52" t="b">
        <f>IF(OR(INDEX(OHZ_HAZ_UNITTYPE,234,1)&lt;&gt;"",),IF(OR(INDEX(OHZ_HAZ_LOCATION,234,1)="",INDEX(OHZ_HAZ_AMOUNT,234,1)="",),FALSE,TRUE),TRUE)</f>
        <v>1</v>
      </c>
      <c r="K991" s="52" t="str">
        <f t="shared" si="32"/>
        <v>Row 234 - For a ‘Transport unit’ both ‘Location on board’ and ‘Amount’ are required</v>
      </c>
      <c r="L991" s="236" t="s">
        <v>1853</v>
      </c>
    </row>
    <row r="992" spans="7:12">
      <c r="G992" s="250" t="b">
        <f>IF(OR(INDEX(IHZ_HAZ_UNITTYPE,235,1)&lt;&gt;"",),IF(OR(INDEX(IHZ_HAZ_LOCATION,235,1)="",INDEX(IHZ_HAZ_AMOUNT,235,1)="",),FALSE,TRUE),TRUE)</f>
        <v>1</v>
      </c>
      <c r="H992" s="52" t="str">
        <f t="shared" si="31"/>
        <v>Row 235 - For a ‘Transport unit’ both ‘Location on board’ and ‘Amount’ are required</v>
      </c>
      <c r="I992" s="236" t="s">
        <v>1853</v>
      </c>
      <c r="J992" s="52" t="b">
        <f>IF(OR(INDEX(OHZ_HAZ_UNITTYPE,235,1)&lt;&gt;"",),IF(OR(INDEX(OHZ_HAZ_LOCATION,235,1)="",INDEX(OHZ_HAZ_AMOUNT,235,1)="",),FALSE,TRUE),TRUE)</f>
        <v>1</v>
      </c>
      <c r="K992" s="52" t="str">
        <f t="shared" si="32"/>
        <v>Row 235 - For a ‘Transport unit’ both ‘Location on board’ and ‘Amount’ are required</v>
      </c>
      <c r="L992" s="236" t="s">
        <v>1853</v>
      </c>
    </row>
    <row r="993" spans="7:12">
      <c r="G993" s="250" t="b">
        <f>IF(OR(INDEX(IHZ_HAZ_UNITTYPE,236,1)&lt;&gt;"",),IF(OR(INDEX(IHZ_HAZ_LOCATION,236,1)="",INDEX(IHZ_HAZ_AMOUNT,236,1)="",),FALSE,TRUE),TRUE)</f>
        <v>1</v>
      </c>
      <c r="H993" s="52" t="str">
        <f t="shared" si="31"/>
        <v>Row 236 - For a ‘Transport unit’ both ‘Location on board’ and ‘Amount’ are required</v>
      </c>
      <c r="I993" s="236" t="s">
        <v>1853</v>
      </c>
      <c r="J993" s="52" t="b">
        <f>IF(OR(INDEX(OHZ_HAZ_UNITTYPE,236,1)&lt;&gt;"",),IF(OR(INDEX(OHZ_HAZ_LOCATION,236,1)="",INDEX(OHZ_HAZ_AMOUNT,236,1)="",),FALSE,TRUE),TRUE)</f>
        <v>1</v>
      </c>
      <c r="K993" s="52" t="str">
        <f t="shared" si="32"/>
        <v>Row 236 - For a ‘Transport unit’ both ‘Location on board’ and ‘Amount’ are required</v>
      </c>
      <c r="L993" s="236" t="s">
        <v>1853</v>
      </c>
    </row>
    <row r="994" spans="7:12">
      <c r="G994" s="250" t="b">
        <f>IF(OR(INDEX(IHZ_HAZ_UNITTYPE,237,1)&lt;&gt;"",),IF(OR(INDEX(IHZ_HAZ_LOCATION,237,1)="",INDEX(IHZ_HAZ_AMOUNT,237,1)="",),FALSE,TRUE),TRUE)</f>
        <v>1</v>
      </c>
      <c r="H994" s="52" t="str">
        <f t="shared" si="31"/>
        <v>Row 237 - For a ‘Transport unit’ both ‘Location on board’ and ‘Amount’ are required</v>
      </c>
      <c r="I994" s="236" t="s">
        <v>1853</v>
      </c>
      <c r="J994" s="52" t="b">
        <f>IF(OR(INDEX(OHZ_HAZ_UNITTYPE,237,1)&lt;&gt;"",),IF(OR(INDEX(OHZ_HAZ_LOCATION,237,1)="",INDEX(OHZ_HAZ_AMOUNT,237,1)="",),FALSE,TRUE),TRUE)</f>
        <v>1</v>
      </c>
      <c r="K994" s="52" t="str">
        <f t="shared" si="32"/>
        <v>Row 237 - For a ‘Transport unit’ both ‘Location on board’ and ‘Amount’ are required</v>
      </c>
      <c r="L994" s="236" t="s">
        <v>1853</v>
      </c>
    </row>
    <row r="995" spans="7:12">
      <c r="G995" s="250" t="b">
        <f>IF(OR(INDEX(IHZ_HAZ_UNITTYPE,238,1)&lt;&gt;"",),IF(OR(INDEX(IHZ_HAZ_LOCATION,238,1)="",INDEX(IHZ_HAZ_AMOUNT,238,1)="",),FALSE,TRUE),TRUE)</f>
        <v>1</v>
      </c>
      <c r="H995" s="52" t="str">
        <f t="shared" si="31"/>
        <v>Row 238 - For a ‘Transport unit’ both ‘Location on board’ and ‘Amount’ are required</v>
      </c>
      <c r="I995" s="236" t="s">
        <v>1853</v>
      </c>
      <c r="J995" s="52" t="b">
        <f>IF(OR(INDEX(OHZ_HAZ_UNITTYPE,238,1)&lt;&gt;"",),IF(OR(INDEX(OHZ_HAZ_LOCATION,238,1)="",INDEX(OHZ_HAZ_AMOUNT,238,1)="",),FALSE,TRUE),TRUE)</f>
        <v>1</v>
      </c>
      <c r="K995" s="52" t="str">
        <f t="shared" si="32"/>
        <v>Row 238 - For a ‘Transport unit’ both ‘Location on board’ and ‘Amount’ are required</v>
      </c>
      <c r="L995" s="236" t="s">
        <v>1853</v>
      </c>
    </row>
    <row r="996" spans="7:12">
      <c r="G996" s="250" t="b">
        <f>IF(OR(INDEX(IHZ_HAZ_UNITTYPE,239,1)&lt;&gt;"",),IF(OR(INDEX(IHZ_HAZ_LOCATION,239,1)="",INDEX(IHZ_HAZ_AMOUNT,239,1)="",),FALSE,TRUE),TRUE)</f>
        <v>1</v>
      </c>
      <c r="H996" s="52" t="str">
        <f t="shared" si="31"/>
        <v>Row 239 - For a ‘Transport unit’ both ‘Location on board’ and ‘Amount’ are required</v>
      </c>
      <c r="I996" s="236" t="s">
        <v>1853</v>
      </c>
      <c r="J996" s="52" t="b">
        <f>IF(OR(INDEX(OHZ_HAZ_UNITTYPE,239,1)&lt;&gt;"",),IF(OR(INDEX(OHZ_HAZ_LOCATION,239,1)="",INDEX(OHZ_HAZ_AMOUNT,239,1)="",),FALSE,TRUE),TRUE)</f>
        <v>1</v>
      </c>
      <c r="K996" s="52" t="str">
        <f t="shared" si="32"/>
        <v>Row 239 - For a ‘Transport unit’ both ‘Location on board’ and ‘Amount’ are required</v>
      </c>
      <c r="L996" s="236" t="s">
        <v>1853</v>
      </c>
    </row>
    <row r="997" spans="7:12">
      <c r="G997" s="250" t="b">
        <f>IF(OR(INDEX(IHZ_HAZ_UNITTYPE,240,1)&lt;&gt;"",),IF(OR(INDEX(IHZ_HAZ_LOCATION,240,1)="",INDEX(IHZ_HAZ_AMOUNT,240,1)="",),FALSE,TRUE),TRUE)</f>
        <v>1</v>
      </c>
      <c r="H997" s="52" t="str">
        <f t="shared" si="31"/>
        <v>Row 240 - For a ‘Transport unit’ both ‘Location on board’ and ‘Amount’ are required</v>
      </c>
      <c r="I997" s="236" t="s">
        <v>1853</v>
      </c>
      <c r="J997" s="52" t="b">
        <f>IF(OR(INDEX(OHZ_HAZ_UNITTYPE,240,1)&lt;&gt;"",),IF(OR(INDEX(OHZ_HAZ_LOCATION,240,1)="",INDEX(OHZ_HAZ_AMOUNT,240,1)="",),FALSE,TRUE),TRUE)</f>
        <v>1</v>
      </c>
      <c r="K997" s="52" t="str">
        <f t="shared" si="32"/>
        <v>Row 240 - For a ‘Transport unit’ both ‘Location on board’ and ‘Amount’ are required</v>
      </c>
      <c r="L997" s="236" t="s">
        <v>1853</v>
      </c>
    </row>
    <row r="998" spans="7:12">
      <c r="G998" s="250" t="b">
        <f>IF(OR(INDEX(IHZ_HAZ_UNITTYPE,241,1)&lt;&gt;"",),IF(OR(INDEX(IHZ_HAZ_LOCATION,241,1)="",INDEX(IHZ_HAZ_AMOUNT,241,1)="",),FALSE,TRUE),TRUE)</f>
        <v>1</v>
      </c>
      <c r="H998" s="52" t="str">
        <f t="shared" si="31"/>
        <v>Row 241 - For a ‘Transport unit’ both ‘Location on board’ and ‘Amount’ are required</v>
      </c>
      <c r="I998" s="236" t="s">
        <v>1853</v>
      </c>
      <c r="J998" s="52" t="b">
        <f>IF(OR(INDEX(OHZ_HAZ_UNITTYPE,241,1)&lt;&gt;"",),IF(OR(INDEX(OHZ_HAZ_LOCATION,241,1)="",INDEX(OHZ_HAZ_AMOUNT,241,1)="",),FALSE,TRUE),TRUE)</f>
        <v>1</v>
      </c>
      <c r="K998" s="52" t="str">
        <f t="shared" si="32"/>
        <v>Row 241 - For a ‘Transport unit’ both ‘Location on board’ and ‘Amount’ are required</v>
      </c>
      <c r="L998" s="236" t="s">
        <v>1853</v>
      </c>
    </row>
    <row r="999" spans="7:12">
      <c r="G999" s="250" t="b">
        <f>IF(OR(INDEX(IHZ_HAZ_UNITTYPE,242,1)&lt;&gt;"",),IF(OR(INDEX(IHZ_HAZ_LOCATION,242,1)="",INDEX(IHZ_HAZ_AMOUNT,242,1)="",),FALSE,TRUE),TRUE)</f>
        <v>1</v>
      </c>
      <c r="H999" s="52" t="str">
        <f t="shared" si="31"/>
        <v>Row 242 - For a ‘Transport unit’ both ‘Location on board’ and ‘Amount’ are required</v>
      </c>
      <c r="I999" s="236" t="s">
        <v>1853</v>
      </c>
      <c r="J999" s="52" t="b">
        <f>IF(OR(INDEX(OHZ_HAZ_UNITTYPE,242,1)&lt;&gt;"",),IF(OR(INDEX(OHZ_HAZ_LOCATION,242,1)="",INDEX(OHZ_HAZ_AMOUNT,242,1)="",),FALSE,TRUE),TRUE)</f>
        <v>1</v>
      </c>
      <c r="K999" s="52" t="str">
        <f t="shared" si="32"/>
        <v>Row 242 - For a ‘Transport unit’ both ‘Location on board’ and ‘Amount’ are required</v>
      </c>
      <c r="L999" s="236" t="s">
        <v>1853</v>
      </c>
    </row>
    <row r="1000" spans="7:12">
      <c r="G1000" s="250" t="b">
        <f>IF(OR(INDEX(IHZ_HAZ_UNITTYPE,243,1)&lt;&gt;"",),IF(OR(INDEX(IHZ_HAZ_LOCATION,243,1)="",INDEX(IHZ_HAZ_AMOUNT,243,1)="",),FALSE,TRUE),TRUE)</f>
        <v>1</v>
      </c>
      <c r="H1000" s="52" t="str">
        <f t="shared" si="31"/>
        <v>Row 243 - For a ‘Transport unit’ both ‘Location on board’ and ‘Amount’ are required</v>
      </c>
      <c r="I1000" s="236" t="s">
        <v>1853</v>
      </c>
      <c r="J1000" s="52" t="b">
        <f>IF(OR(INDEX(OHZ_HAZ_UNITTYPE,243,1)&lt;&gt;"",),IF(OR(INDEX(OHZ_HAZ_LOCATION,243,1)="",INDEX(OHZ_HAZ_AMOUNT,243,1)="",),FALSE,TRUE),TRUE)</f>
        <v>1</v>
      </c>
      <c r="K1000" s="52" t="str">
        <f t="shared" si="32"/>
        <v>Row 243 - For a ‘Transport unit’ both ‘Location on board’ and ‘Amount’ are required</v>
      </c>
      <c r="L1000" s="236" t="s">
        <v>1853</v>
      </c>
    </row>
    <row r="1001" spans="7:12">
      <c r="G1001" s="250" t="b">
        <f>IF(OR(INDEX(IHZ_HAZ_UNITTYPE,244,1)&lt;&gt;"",),IF(OR(INDEX(IHZ_HAZ_LOCATION,244,1)="",INDEX(IHZ_HAZ_AMOUNT,244,1)="",),FALSE,TRUE),TRUE)</f>
        <v>1</v>
      </c>
      <c r="H1001" s="52" t="str">
        <f t="shared" si="31"/>
        <v>Row 244 - For a ‘Transport unit’ both ‘Location on board’ and ‘Amount’ are required</v>
      </c>
      <c r="I1001" s="236" t="s">
        <v>1853</v>
      </c>
      <c r="J1001" s="52" t="b">
        <f>IF(OR(INDEX(OHZ_HAZ_UNITTYPE,244,1)&lt;&gt;"",),IF(OR(INDEX(OHZ_HAZ_LOCATION,244,1)="",INDEX(OHZ_HAZ_AMOUNT,244,1)="",),FALSE,TRUE),TRUE)</f>
        <v>1</v>
      </c>
      <c r="K1001" s="52" t="str">
        <f t="shared" si="32"/>
        <v>Row 244 - For a ‘Transport unit’ both ‘Location on board’ and ‘Amount’ are required</v>
      </c>
      <c r="L1001" s="236" t="s">
        <v>1853</v>
      </c>
    </row>
    <row r="1002" spans="7:12">
      <c r="G1002" s="250" t="b">
        <f>IF(OR(INDEX(IHZ_HAZ_UNITTYPE,245,1)&lt;&gt;"",),IF(OR(INDEX(IHZ_HAZ_LOCATION,245,1)="",INDEX(IHZ_HAZ_AMOUNT,245,1)="",),FALSE,TRUE),TRUE)</f>
        <v>1</v>
      </c>
      <c r="H1002" s="52" t="str">
        <f t="shared" si="31"/>
        <v>Row 245 - For a ‘Transport unit’ both ‘Location on board’ and ‘Amount’ are required</v>
      </c>
      <c r="I1002" s="236" t="s">
        <v>1853</v>
      </c>
      <c r="J1002" s="52" t="b">
        <f>IF(OR(INDEX(OHZ_HAZ_UNITTYPE,245,1)&lt;&gt;"",),IF(OR(INDEX(OHZ_HAZ_LOCATION,245,1)="",INDEX(OHZ_HAZ_AMOUNT,245,1)="",),FALSE,TRUE),TRUE)</f>
        <v>1</v>
      </c>
      <c r="K1002" s="52" t="str">
        <f t="shared" si="32"/>
        <v>Row 245 - For a ‘Transport unit’ both ‘Location on board’ and ‘Amount’ are required</v>
      </c>
      <c r="L1002" s="236" t="s">
        <v>1853</v>
      </c>
    </row>
    <row r="1003" spans="7:12">
      <c r="G1003" s="250" t="b">
        <f>IF(OR(INDEX(IHZ_HAZ_UNITTYPE,246,1)&lt;&gt;"",),IF(OR(INDEX(IHZ_HAZ_LOCATION,246,1)="",INDEX(IHZ_HAZ_AMOUNT,246,1)="",),FALSE,TRUE),TRUE)</f>
        <v>1</v>
      </c>
      <c r="H1003" s="52" t="str">
        <f t="shared" si="31"/>
        <v>Row 246 - For a ‘Transport unit’ both ‘Location on board’ and ‘Amount’ are required</v>
      </c>
      <c r="I1003" s="236" t="s">
        <v>1853</v>
      </c>
      <c r="J1003" s="52" t="b">
        <f>IF(OR(INDEX(OHZ_HAZ_UNITTYPE,246,1)&lt;&gt;"",),IF(OR(INDEX(OHZ_HAZ_LOCATION,246,1)="",INDEX(OHZ_HAZ_AMOUNT,246,1)="",),FALSE,TRUE),TRUE)</f>
        <v>1</v>
      </c>
      <c r="K1003" s="52" t="str">
        <f t="shared" si="32"/>
        <v>Row 246 - For a ‘Transport unit’ both ‘Location on board’ and ‘Amount’ are required</v>
      </c>
      <c r="L1003" s="236" t="s">
        <v>1853</v>
      </c>
    </row>
    <row r="1004" spans="7:12">
      <c r="G1004" s="250" t="b">
        <f>IF(OR(INDEX(IHZ_HAZ_UNITTYPE,247,1)&lt;&gt;"",),IF(OR(INDEX(IHZ_HAZ_LOCATION,247,1)="",INDEX(IHZ_HAZ_AMOUNT,247,1)="",),FALSE,TRUE),TRUE)</f>
        <v>1</v>
      </c>
      <c r="H1004" s="52" t="str">
        <f t="shared" si="31"/>
        <v>Row 247 - For a ‘Transport unit’ both ‘Location on board’ and ‘Amount’ are required</v>
      </c>
      <c r="I1004" s="236" t="s">
        <v>1853</v>
      </c>
      <c r="J1004" s="52" t="b">
        <f>IF(OR(INDEX(OHZ_HAZ_UNITTYPE,247,1)&lt;&gt;"",),IF(OR(INDEX(OHZ_HAZ_LOCATION,247,1)="",INDEX(OHZ_HAZ_AMOUNT,247,1)="",),FALSE,TRUE),TRUE)</f>
        <v>1</v>
      </c>
      <c r="K1004" s="52" t="str">
        <f t="shared" si="32"/>
        <v>Row 247 - For a ‘Transport unit’ both ‘Location on board’ and ‘Amount’ are required</v>
      </c>
      <c r="L1004" s="236" t="s">
        <v>1853</v>
      </c>
    </row>
    <row r="1005" spans="7:12">
      <c r="G1005" s="250" t="b">
        <f>IF(OR(INDEX(IHZ_HAZ_UNITTYPE,248,1)&lt;&gt;"",),IF(OR(INDEX(IHZ_HAZ_LOCATION,248,1)="",INDEX(IHZ_HAZ_AMOUNT,248,1)="",),FALSE,TRUE),TRUE)</f>
        <v>1</v>
      </c>
      <c r="H1005" s="52" t="str">
        <f t="shared" si="31"/>
        <v>Row 248 - For a ‘Transport unit’ both ‘Location on board’ and ‘Amount’ are required</v>
      </c>
      <c r="I1005" s="236" t="s">
        <v>1853</v>
      </c>
      <c r="J1005" s="52" t="b">
        <f>IF(OR(INDEX(OHZ_HAZ_UNITTYPE,248,1)&lt;&gt;"",),IF(OR(INDEX(OHZ_HAZ_LOCATION,248,1)="",INDEX(OHZ_HAZ_AMOUNT,248,1)="",),FALSE,TRUE),TRUE)</f>
        <v>1</v>
      </c>
      <c r="K1005" s="52" t="str">
        <f t="shared" si="32"/>
        <v>Row 248 - For a ‘Transport unit’ both ‘Location on board’ and ‘Amount’ are required</v>
      </c>
      <c r="L1005" s="236" t="s">
        <v>1853</v>
      </c>
    </row>
    <row r="1006" spans="7:12">
      <c r="G1006" s="250" t="b">
        <f>IF(OR(INDEX(IHZ_HAZ_UNITTYPE,249,1)&lt;&gt;"",),IF(OR(INDEX(IHZ_HAZ_LOCATION,249,1)="",INDEX(IHZ_HAZ_AMOUNT,249,1)="",),FALSE,TRUE),TRUE)</f>
        <v>1</v>
      </c>
      <c r="H1006" s="52" t="str">
        <f t="shared" si="31"/>
        <v>Row 249 - For a ‘Transport unit’ both ‘Location on board’ and ‘Amount’ are required</v>
      </c>
      <c r="I1006" s="236" t="s">
        <v>1853</v>
      </c>
      <c r="J1006" s="52" t="b">
        <f>IF(OR(INDEX(OHZ_HAZ_UNITTYPE,249,1)&lt;&gt;"",),IF(OR(INDEX(OHZ_HAZ_LOCATION,249,1)="",INDEX(OHZ_HAZ_AMOUNT,249,1)="",),FALSE,TRUE),TRUE)</f>
        <v>1</v>
      </c>
      <c r="K1006" s="52" t="str">
        <f t="shared" si="32"/>
        <v>Row 249 - For a ‘Transport unit’ both ‘Location on board’ and ‘Amount’ are required</v>
      </c>
      <c r="L1006" s="236" t="s">
        <v>1853</v>
      </c>
    </row>
    <row r="1007" spans="7:12">
      <c r="G1007" s="250" t="b">
        <f>IF(OR(INDEX(IHZ_HAZ_UNITTYPE,250,1)&lt;&gt;"",),IF(OR(INDEX(IHZ_HAZ_LOCATION,250,1)="",INDEX(IHZ_HAZ_AMOUNT,250,1)="",),FALSE,TRUE),TRUE)</f>
        <v>1</v>
      </c>
      <c r="H1007" s="52" t="str">
        <f t="shared" si="31"/>
        <v>Row 250 - For a ‘Transport unit’ both ‘Location on board’ and ‘Amount’ are required</v>
      </c>
      <c r="I1007" s="236" t="s">
        <v>1853</v>
      </c>
      <c r="J1007" s="52" t="b">
        <f>IF(OR(INDEX(OHZ_HAZ_UNITTYPE,250,1)&lt;&gt;"",),IF(OR(INDEX(OHZ_HAZ_LOCATION,250,1)="",INDEX(OHZ_HAZ_AMOUNT,250,1)="",),FALSE,TRUE),TRUE)</f>
        <v>1</v>
      </c>
      <c r="K1007" s="52" t="str">
        <f t="shared" si="32"/>
        <v>Row 250 - For a ‘Transport unit’ both ‘Location on board’ and ‘Amount’ are required</v>
      </c>
      <c r="L1007" s="236" t="s">
        <v>1853</v>
      </c>
    </row>
    <row r="1008" spans="7:12">
      <c r="G1008" s="250" t="b">
        <f>IF(OR(INDEX(IHZ_HAZ_AMOUNT,1,1)&lt;&gt;"",),IF(OR(INDEX(IHZ_HAZ_NETGROSS,1,1)="",INDEX(IHZ_HAZ_UNIT,1,1)="",),FALSE,TRUE),TRUE)</f>
        <v>1</v>
      </c>
      <c r="H1008" s="52" t="str">
        <f>T1&amp;$V$5</f>
        <v>Row 1 - For ‘Transport unit’ if ‘Amount’ is given then ‘Gross / Net’ and ‘Amount unit’ are required</v>
      </c>
      <c r="I1008" s="236" t="s">
        <v>1853</v>
      </c>
      <c r="J1008" s="52" t="b">
        <f>IF(OR(INDEX(OHZ_HAZ_AMOUNT,1,1)&lt;&gt;"",),IF(OR(INDEX(OHZ_HAZ_NETGROSS,1,1)="",INDEX(OHZ_HAZ_UNIT,1,1)="",),FALSE,TRUE),TRUE)</f>
        <v>1</v>
      </c>
      <c r="K1008" s="52" t="str">
        <f>T1&amp;$V$5</f>
        <v>Row 1 - For ‘Transport unit’ if ‘Amount’ is given then ‘Gross / Net’ and ‘Amount unit’ are required</v>
      </c>
      <c r="L1008" s="236" t="s">
        <v>1853</v>
      </c>
    </row>
    <row r="1009" spans="7:12">
      <c r="G1009" s="250" t="b">
        <f>IF(OR(INDEX(IHZ_HAZ_AMOUNT,2,1)&lt;&gt;"",),IF(OR(INDEX(IHZ_HAZ_NETGROSS,2,1)="",INDEX(IHZ_HAZ_UNIT,2,1)="",),FALSE,TRUE),TRUE)</f>
        <v>1</v>
      </c>
      <c r="H1009" s="52" t="str">
        <f t="shared" ref="H1009:H1072" si="33">T2&amp;$V$5</f>
        <v>Row 2 - For ‘Transport unit’ if ‘Amount’ is given then ‘Gross / Net’ and ‘Amount unit’ are required</v>
      </c>
      <c r="I1009" s="236" t="s">
        <v>1853</v>
      </c>
      <c r="J1009" s="52" t="b">
        <f>IF(OR(INDEX(OHZ_HAZ_AMOUNT,2,1)&lt;&gt;"",),IF(OR(INDEX(OHZ_HAZ_NETGROSS,2,1)="",INDEX(OHZ_HAZ_UNIT,2,1)="",),FALSE,TRUE),TRUE)</f>
        <v>1</v>
      </c>
      <c r="K1009" s="52" t="str">
        <f t="shared" ref="K1009:K1072" si="34">T2&amp;$V$5</f>
        <v>Row 2 - For ‘Transport unit’ if ‘Amount’ is given then ‘Gross / Net’ and ‘Amount unit’ are required</v>
      </c>
      <c r="L1009" s="236" t="s">
        <v>1853</v>
      </c>
    </row>
    <row r="1010" spans="7:12">
      <c r="G1010" s="250" t="b">
        <f>IF(OR(INDEX(IHZ_HAZ_AMOUNT,3,1)&lt;&gt;"",),IF(OR(INDEX(IHZ_HAZ_NETGROSS,3,1)="",INDEX(IHZ_HAZ_UNIT,3,1)="",),FALSE,TRUE),TRUE)</f>
        <v>1</v>
      </c>
      <c r="H1010" s="52" t="str">
        <f t="shared" si="33"/>
        <v>Row 3 - For ‘Transport unit’ if ‘Amount’ is given then ‘Gross / Net’ and ‘Amount unit’ are required</v>
      </c>
      <c r="I1010" s="236" t="s">
        <v>1853</v>
      </c>
      <c r="J1010" s="52" t="b">
        <f>IF(OR(INDEX(OHZ_HAZ_AMOUNT,3,1)&lt;&gt;"",),IF(OR(INDEX(OHZ_HAZ_NETGROSS,3,1)="",INDEX(OHZ_HAZ_UNIT,3,1)="",),FALSE,TRUE),TRUE)</f>
        <v>1</v>
      </c>
      <c r="K1010" s="52" t="str">
        <f t="shared" si="34"/>
        <v>Row 3 - For ‘Transport unit’ if ‘Amount’ is given then ‘Gross / Net’ and ‘Amount unit’ are required</v>
      </c>
      <c r="L1010" s="236" t="s">
        <v>1853</v>
      </c>
    </row>
    <row r="1011" spans="7:12">
      <c r="G1011" s="250" t="b">
        <f>IF(OR(INDEX(IHZ_HAZ_AMOUNT,4,1)&lt;&gt;"",),IF(OR(INDEX(IHZ_HAZ_NETGROSS,4,1)="",INDEX(IHZ_HAZ_UNIT,4,1)="",),FALSE,TRUE),TRUE)</f>
        <v>1</v>
      </c>
      <c r="H1011" s="52" t="str">
        <f t="shared" si="33"/>
        <v>Row 4 - For ‘Transport unit’ if ‘Amount’ is given then ‘Gross / Net’ and ‘Amount unit’ are required</v>
      </c>
      <c r="I1011" s="236" t="s">
        <v>1853</v>
      </c>
      <c r="J1011" s="52" t="b">
        <f>IF(OR(INDEX(OHZ_HAZ_AMOUNT,4,1)&lt;&gt;"",),IF(OR(INDEX(OHZ_HAZ_NETGROSS,4,1)="",INDEX(OHZ_HAZ_UNIT,4,1)="",),FALSE,TRUE),TRUE)</f>
        <v>1</v>
      </c>
      <c r="K1011" s="52" t="str">
        <f t="shared" si="34"/>
        <v>Row 4 - For ‘Transport unit’ if ‘Amount’ is given then ‘Gross / Net’ and ‘Amount unit’ are required</v>
      </c>
      <c r="L1011" s="236" t="s">
        <v>1853</v>
      </c>
    </row>
    <row r="1012" spans="7:12">
      <c r="G1012" s="250" t="b">
        <f>IF(OR(INDEX(IHZ_HAZ_AMOUNT,5,1)&lt;&gt;"",),IF(OR(INDEX(IHZ_HAZ_NETGROSS,5,1)="",INDEX(IHZ_HAZ_UNIT,5,1)="",),FALSE,TRUE),TRUE)</f>
        <v>1</v>
      </c>
      <c r="H1012" s="52" t="str">
        <f t="shared" si="33"/>
        <v>Row 5 - For ‘Transport unit’ if ‘Amount’ is given then ‘Gross / Net’ and ‘Amount unit’ are required</v>
      </c>
      <c r="I1012" s="236" t="s">
        <v>1853</v>
      </c>
      <c r="J1012" s="52" t="b">
        <f>IF(OR(INDEX(OHZ_HAZ_AMOUNT,5,1)&lt;&gt;"",),IF(OR(INDEX(OHZ_HAZ_NETGROSS,5,1)="",INDEX(OHZ_HAZ_UNIT,5,1)="",),FALSE,TRUE),TRUE)</f>
        <v>1</v>
      </c>
      <c r="K1012" s="52" t="str">
        <f t="shared" si="34"/>
        <v>Row 5 - For ‘Transport unit’ if ‘Amount’ is given then ‘Gross / Net’ and ‘Amount unit’ are required</v>
      </c>
      <c r="L1012" s="236" t="s">
        <v>1853</v>
      </c>
    </row>
    <row r="1013" spans="7:12">
      <c r="G1013" s="250" t="b">
        <f>IF(OR(INDEX(IHZ_HAZ_AMOUNT,6,1)&lt;&gt;"",),IF(OR(INDEX(IHZ_HAZ_NETGROSS,6,1)="",INDEX(IHZ_HAZ_UNIT,6,1)="",),FALSE,TRUE),TRUE)</f>
        <v>1</v>
      </c>
      <c r="H1013" s="52" t="str">
        <f t="shared" si="33"/>
        <v>Row 6 - For ‘Transport unit’ if ‘Amount’ is given then ‘Gross / Net’ and ‘Amount unit’ are required</v>
      </c>
      <c r="I1013" s="236" t="s">
        <v>1853</v>
      </c>
      <c r="J1013" s="52" t="b">
        <f>IF(OR(INDEX(OHZ_HAZ_AMOUNT,6,1)&lt;&gt;"",),IF(OR(INDEX(OHZ_HAZ_NETGROSS,6,1)="",INDEX(OHZ_HAZ_UNIT,6,1)="",),FALSE,TRUE),TRUE)</f>
        <v>1</v>
      </c>
      <c r="K1013" s="52" t="str">
        <f t="shared" si="34"/>
        <v>Row 6 - For ‘Transport unit’ if ‘Amount’ is given then ‘Gross / Net’ and ‘Amount unit’ are required</v>
      </c>
      <c r="L1013" s="236" t="s">
        <v>1853</v>
      </c>
    </row>
    <row r="1014" spans="7:12">
      <c r="G1014" s="250" t="b">
        <f>IF(OR(INDEX(IHZ_HAZ_AMOUNT,7,1)&lt;&gt;"",),IF(OR(INDEX(IHZ_HAZ_NETGROSS,7,1)="",INDEX(IHZ_HAZ_UNIT,7,1)="",),FALSE,TRUE),TRUE)</f>
        <v>1</v>
      </c>
      <c r="H1014" s="52" t="str">
        <f t="shared" si="33"/>
        <v>Row 7 - For ‘Transport unit’ if ‘Amount’ is given then ‘Gross / Net’ and ‘Amount unit’ are required</v>
      </c>
      <c r="I1014" s="236" t="s">
        <v>1853</v>
      </c>
      <c r="J1014" s="52" t="b">
        <f>IF(OR(INDEX(OHZ_HAZ_AMOUNT,7,1)&lt;&gt;"",),IF(OR(INDEX(OHZ_HAZ_NETGROSS,7,1)="",INDEX(OHZ_HAZ_UNIT,7,1)="",),FALSE,TRUE),TRUE)</f>
        <v>1</v>
      </c>
      <c r="K1014" s="52" t="str">
        <f t="shared" si="34"/>
        <v>Row 7 - For ‘Transport unit’ if ‘Amount’ is given then ‘Gross / Net’ and ‘Amount unit’ are required</v>
      </c>
      <c r="L1014" s="236" t="s">
        <v>1853</v>
      </c>
    </row>
    <row r="1015" spans="7:12">
      <c r="G1015" s="250" t="b">
        <f>IF(OR(INDEX(IHZ_HAZ_AMOUNT,8,1)&lt;&gt;"",),IF(OR(INDEX(IHZ_HAZ_NETGROSS,8,1)="",INDEX(IHZ_HAZ_UNIT,8,1)="",),FALSE,TRUE),TRUE)</f>
        <v>1</v>
      </c>
      <c r="H1015" s="52" t="str">
        <f t="shared" si="33"/>
        <v>Row 8 - For ‘Transport unit’ if ‘Amount’ is given then ‘Gross / Net’ and ‘Amount unit’ are required</v>
      </c>
      <c r="I1015" s="236" t="s">
        <v>1853</v>
      </c>
      <c r="J1015" s="52" t="b">
        <f>IF(OR(INDEX(OHZ_HAZ_AMOUNT,8,1)&lt;&gt;"",),IF(OR(INDEX(OHZ_HAZ_NETGROSS,8,1)="",INDEX(OHZ_HAZ_UNIT,8,1)="",),FALSE,TRUE),TRUE)</f>
        <v>1</v>
      </c>
      <c r="K1015" s="52" t="str">
        <f t="shared" si="34"/>
        <v>Row 8 - For ‘Transport unit’ if ‘Amount’ is given then ‘Gross / Net’ and ‘Amount unit’ are required</v>
      </c>
      <c r="L1015" s="236" t="s">
        <v>1853</v>
      </c>
    </row>
    <row r="1016" spans="7:12">
      <c r="G1016" s="250" t="b">
        <f>IF(OR(INDEX(IHZ_HAZ_AMOUNT,9,1)&lt;&gt;"",),IF(OR(INDEX(IHZ_HAZ_NETGROSS,9,1)="",INDEX(IHZ_HAZ_UNIT,9,1)="",),FALSE,TRUE),TRUE)</f>
        <v>1</v>
      </c>
      <c r="H1016" s="52" t="str">
        <f t="shared" si="33"/>
        <v>Row 9 - For ‘Transport unit’ if ‘Amount’ is given then ‘Gross / Net’ and ‘Amount unit’ are required</v>
      </c>
      <c r="I1016" s="236" t="s">
        <v>1853</v>
      </c>
      <c r="J1016" s="52" t="b">
        <f>IF(OR(INDEX(OHZ_HAZ_AMOUNT,9,1)&lt;&gt;"",),IF(OR(INDEX(OHZ_HAZ_NETGROSS,9,1)="",INDEX(OHZ_HAZ_UNIT,9,1)="",),FALSE,TRUE),TRUE)</f>
        <v>1</v>
      </c>
      <c r="K1016" s="52" t="str">
        <f t="shared" si="34"/>
        <v>Row 9 - For ‘Transport unit’ if ‘Amount’ is given then ‘Gross / Net’ and ‘Amount unit’ are required</v>
      </c>
      <c r="L1016" s="236" t="s">
        <v>1853</v>
      </c>
    </row>
    <row r="1017" spans="7:12">
      <c r="G1017" s="250" t="b">
        <f>IF(OR(INDEX(IHZ_HAZ_AMOUNT,10,1)&lt;&gt;"",),IF(OR(INDEX(IHZ_HAZ_NETGROSS,10,1)="",INDEX(IHZ_HAZ_UNIT,10,1)="",),FALSE,TRUE),TRUE)</f>
        <v>1</v>
      </c>
      <c r="H1017" s="52" t="str">
        <f t="shared" si="33"/>
        <v>Row 10 - For ‘Transport unit’ if ‘Amount’ is given then ‘Gross / Net’ and ‘Amount unit’ are required</v>
      </c>
      <c r="I1017" s="236" t="s">
        <v>1853</v>
      </c>
      <c r="J1017" s="52" t="b">
        <f>IF(OR(INDEX(OHZ_HAZ_AMOUNT,10,1)&lt;&gt;"",),IF(OR(INDEX(OHZ_HAZ_NETGROSS,10,1)="",INDEX(OHZ_HAZ_UNIT,10,1)="",),FALSE,TRUE),TRUE)</f>
        <v>1</v>
      </c>
      <c r="K1017" s="52" t="str">
        <f t="shared" si="34"/>
        <v>Row 10 - For ‘Transport unit’ if ‘Amount’ is given then ‘Gross / Net’ and ‘Amount unit’ are required</v>
      </c>
      <c r="L1017" s="236" t="s">
        <v>1853</v>
      </c>
    </row>
    <row r="1018" spans="7:12">
      <c r="G1018" s="250" t="b">
        <f>IF(OR(INDEX(IHZ_HAZ_AMOUNT,11,1)&lt;&gt;"",),IF(OR(INDEX(IHZ_HAZ_NETGROSS,11,1)="",INDEX(IHZ_HAZ_UNIT,11,1)="",),FALSE,TRUE),TRUE)</f>
        <v>1</v>
      </c>
      <c r="H1018" s="52" t="str">
        <f t="shared" si="33"/>
        <v>Row 11 - For ‘Transport unit’ if ‘Amount’ is given then ‘Gross / Net’ and ‘Amount unit’ are required</v>
      </c>
      <c r="I1018" s="236" t="s">
        <v>1853</v>
      </c>
      <c r="J1018" s="52" t="b">
        <f>IF(OR(INDEX(OHZ_HAZ_AMOUNT,11,1)&lt;&gt;"",),IF(OR(INDEX(OHZ_HAZ_NETGROSS,11,1)="",INDEX(OHZ_HAZ_UNIT,11,1)="",),FALSE,TRUE),TRUE)</f>
        <v>1</v>
      </c>
      <c r="K1018" s="52" t="str">
        <f t="shared" si="34"/>
        <v>Row 11 - For ‘Transport unit’ if ‘Amount’ is given then ‘Gross / Net’ and ‘Amount unit’ are required</v>
      </c>
      <c r="L1018" s="236" t="s">
        <v>1853</v>
      </c>
    </row>
    <row r="1019" spans="7:12">
      <c r="G1019" s="250" t="b">
        <f>IF(OR(INDEX(IHZ_HAZ_AMOUNT,12,1)&lt;&gt;"",),IF(OR(INDEX(IHZ_HAZ_NETGROSS,12,1)="",INDEX(IHZ_HAZ_UNIT,12,1)="",),FALSE,TRUE),TRUE)</f>
        <v>1</v>
      </c>
      <c r="H1019" s="52" t="str">
        <f t="shared" si="33"/>
        <v>Row 12 - For ‘Transport unit’ if ‘Amount’ is given then ‘Gross / Net’ and ‘Amount unit’ are required</v>
      </c>
      <c r="I1019" s="236" t="s">
        <v>1853</v>
      </c>
      <c r="J1019" s="52" t="b">
        <f>IF(OR(INDEX(OHZ_HAZ_AMOUNT,12,1)&lt;&gt;"",),IF(OR(INDEX(OHZ_HAZ_NETGROSS,12,1)="",INDEX(OHZ_HAZ_UNIT,12,1)="",),FALSE,TRUE),TRUE)</f>
        <v>1</v>
      </c>
      <c r="K1019" s="52" t="str">
        <f t="shared" si="34"/>
        <v>Row 12 - For ‘Transport unit’ if ‘Amount’ is given then ‘Gross / Net’ and ‘Amount unit’ are required</v>
      </c>
      <c r="L1019" s="236" t="s">
        <v>1853</v>
      </c>
    </row>
    <row r="1020" spans="7:12">
      <c r="G1020" s="250" t="b">
        <f>IF(OR(INDEX(IHZ_HAZ_AMOUNT,13,1)&lt;&gt;"",),IF(OR(INDEX(IHZ_HAZ_NETGROSS,13,1)="",INDEX(IHZ_HAZ_UNIT,13,1)="",),FALSE,TRUE),TRUE)</f>
        <v>1</v>
      </c>
      <c r="H1020" s="52" t="str">
        <f t="shared" si="33"/>
        <v>Row 13 - For ‘Transport unit’ if ‘Amount’ is given then ‘Gross / Net’ and ‘Amount unit’ are required</v>
      </c>
      <c r="I1020" s="236" t="s">
        <v>1853</v>
      </c>
      <c r="J1020" s="52" t="b">
        <f>IF(OR(INDEX(OHZ_HAZ_AMOUNT,13,1)&lt;&gt;"",),IF(OR(INDEX(OHZ_HAZ_NETGROSS,13,1)="",INDEX(OHZ_HAZ_UNIT,13,1)="",),FALSE,TRUE),TRUE)</f>
        <v>1</v>
      </c>
      <c r="K1020" s="52" t="str">
        <f t="shared" si="34"/>
        <v>Row 13 - For ‘Transport unit’ if ‘Amount’ is given then ‘Gross / Net’ and ‘Amount unit’ are required</v>
      </c>
      <c r="L1020" s="236" t="s">
        <v>1853</v>
      </c>
    </row>
    <row r="1021" spans="7:12">
      <c r="G1021" s="250" t="b">
        <f>IF(OR(INDEX(IHZ_HAZ_AMOUNT,14,1)&lt;&gt;"",),IF(OR(INDEX(IHZ_HAZ_NETGROSS,14,1)="",INDEX(IHZ_HAZ_UNIT,14,1)="",),FALSE,TRUE),TRUE)</f>
        <v>1</v>
      </c>
      <c r="H1021" s="52" t="str">
        <f t="shared" si="33"/>
        <v>Row 14 - For ‘Transport unit’ if ‘Amount’ is given then ‘Gross / Net’ and ‘Amount unit’ are required</v>
      </c>
      <c r="I1021" s="236" t="s">
        <v>1853</v>
      </c>
      <c r="J1021" s="52" t="b">
        <f>IF(OR(INDEX(OHZ_HAZ_AMOUNT,14,1)&lt;&gt;"",),IF(OR(INDEX(OHZ_HAZ_NETGROSS,14,1)="",INDEX(OHZ_HAZ_UNIT,14,1)="",),FALSE,TRUE),TRUE)</f>
        <v>1</v>
      </c>
      <c r="K1021" s="52" t="str">
        <f t="shared" si="34"/>
        <v>Row 14 - For ‘Transport unit’ if ‘Amount’ is given then ‘Gross / Net’ and ‘Amount unit’ are required</v>
      </c>
      <c r="L1021" s="236" t="s">
        <v>1853</v>
      </c>
    </row>
    <row r="1022" spans="7:12">
      <c r="G1022" s="250" t="b">
        <f>IF(OR(INDEX(IHZ_HAZ_AMOUNT,15,1)&lt;&gt;"",),IF(OR(INDEX(IHZ_HAZ_NETGROSS,15,1)="",INDEX(IHZ_HAZ_UNIT,15,1)="",),FALSE,TRUE),TRUE)</f>
        <v>1</v>
      </c>
      <c r="H1022" s="52" t="str">
        <f t="shared" si="33"/>
        <v>Row 15 - For ‘Transport unit’ if ‘Amount’ is given then ‘Gross / Net’ and ‘Amount unit’ are required</v>
      </c>
      <c r="I1022" s="236" t="s">
        <v>1853</v>
      </c>
      <c r="J1022" s="52" t="b">
        <f>IF(OR(INDEX(OHZ_HAZ_AMOUNT,15,1)&lt;&gt;"",),IF(OR(INDEX(OHZ_HAZ_NETGROSS,15,1)="",INDEX(OHZ_HAZ_UNIT,15,1)="",),FALSE,TRUE),TRUE)</f>
        <v>1</v>
      </c>
      <c r="K1022" s="52" t="str">
        <f t="shared" si="34"/>
        <v>Row 15 - For ‘Transport unit’ if ‘Amount’ is given then ‘Gross / Net’ and ‘Amount unit’ are required</v>
      </c>
      <c r="L1022" s="236" t="s">
        <v>1853</v>
      </c>
    </row>
    <row r="1023" spans="7:12">
      <c r="G1023" s="250" t="b">
        <f>IF(OR(INDEX(IHZ_HAZ_AMOUNT,16,1)&lt;&gt;"",),IF(OR(INDEX(IHZ_HAZ_NETGROSS,16,1)="",INDEX(IHZ_HAZ_UNIT,16,1)="",),FALSE,TRUE),TRUE)</f>
        <v>1</v>
      </c>
      <c r="H1023" s="52" t="str">
        <f t="shared" si="33"/>
        <v>Row 16 - For ‘Transport unit’ if ‘Amount’ is given then ‘Gross / Net’ and ‘Amount unit’ are required</v>
      </c>
      <c r="I1023" s="236" t="s">
        <v>1853</v>
      </c>
      <c r="J1023" s="52" t="b">
        <f>IF(OR(INDEX(OHZ_HAZ_AMOUNT,16,1)&lt;&gt;"",),IF(OR(INDEX(OHZ_HAZ_NETGROSS,16,1)="",INDEX(OHZ_HAZ_UNIT,16,1)="",),FALSE,TRUE),TRUE)</f>
        <v>1</v>
      </c>
      <c r="K1023" s="52" t="str">
        <f t="shared" si="34"/>
        <v>Row 16 - For ‘Transport unit’ if ‘Amount’ is given then ‘Gross / Net’ and ‘Amount unit’ are required</v>
      </c>
      <c r="L1023" s="236" t="s">
        <v>1853</v>
      </c>
    </row>
    <row r="1024" spans="7:12">
      <c r="G1024" s="250" t="b">
        <f>IF(OR(INDEX(IHZ_HAZ_AMOUNT,17,1)&lt;&gt;"",),IF(OR(INDEX(IHZ_HAZ_NETGROSS,17,1)="",INDEX(IHZ_HAZ_UNIT,17,1)="",),FALSE,TRUE),TRUE)</f>
        <v>1</v>
      </c>
      <c r="H1024" s="52" t="str">
        <f t="shared" si="33"/>
        <v>Row 17 - For ‘Transport unit’ if ‘Amount’ is given then ‘Gross / Net’ and ‘Amount unit’ are required</v>
      </c>
      <c r="I1024" s="236" t="s">
        <v>1853</v>
      </c>
      <c r="J1024" s="52" t="b">
        <f>IF(OR(INDEX(OHZ_HAZ_AMOUNT,17,1)&lt;&gt;"",),IF(OR(INDEX(OHZ_HAZ_NETGROSS,17,1)="",INDEX(OHZ_HAZ_UNIT,17,1)="",),FALSE,TRUE),TRUE)</f>
        <v>1</v>
      </c>
      <c r="K1024" s="52" t="str">
        <f t="shared" si="34"/>
        <v>Row 17 - For ‘Transport unit’ if ‘Amount’ is given then ‘Gross / Net’ and ‘Amount unit’ are required</v>
      </c>
      <c r="L1024" s="236" t="s">
        <v>1853</v>
      </c>
    </row>
    <row r="1025" spans="7:12">
      <c r="G1025" s="250" t="b">
        <f>IF(OR(INDEX(IHZ_HAZ_AMOUNT,18,1)&lt;&gt;"",),IF(OR(INDEX(IHZ_HAZ_NETGROSS,18,1)="",INDEX(IHZ_HAZ_UNIT,18,1)="",),FALSE,TRUE),TRUE)</f>
        <v>1</v>
      </c>
      <c r="H1025" s="52" t="str">
        <f t="shared" si="33"/>
        <v>Row 18 - For ‘Transport unit’ if ‘Amount’ is given then ‘Gross / Net’ and ‘Amount unit’ are required</v>
      </c>
      <c r="I1025" s="236" t="s">
        <v>1853</v>
      </c>
      <c r="J1025" s="52" t="b">
        <f>IF(OR(INDEX(OHZ_HAZ_AMOUNT,18,1)&lt;&gt;"",),IF(OR(INDEX(OHZ_HAZ_NETGROSS,18,1)="",INDEX(OHZ_HAZ_UNIT,18,1)="",),FALSE,TRUE),TRUE)</f>
        <v>1</v>
      </c>
      <c r="K1025" s="52" t="str">
        <f t="shared" si="34"/>
        <v>Row 18 - For ‘Transport unit’ if ‘Amount’ is given then ‘Gross / Net’ and ‘Amount unit’ are required</v>
      </c>
      <c r="L1025" s="236" t="s">
        <v>1853</v>
      </c>
    </row>
    <row r="1026" spans="7:12">
      <c r="G1026" s="250" t="b">
        <f>IF(OR(INDEX(IHZ_HAZ_AMOUNT,19,1)&lt;&gt;"",),IF(OR(INDEX(IHZ_HAZ_NETGROSS,19,1)="",INDEX(IHZ_HAZ_UNIT,19,1)="",),FALSE,TRUE),TRUE)</f>
        <v>1</v>
      </c>
      <c r="H1026" s="52" t="str">
        <f t="shared" si="33"/>
        <v>Row 19 - For ‘Transport unit’ if ‘Amount’ is given then ‘Gross / Net’ and ‘Amount unit’ are required</v>
      </c>
      <c r="I1026" s="236" t="s">
        <v>1853</v>
      </c>
      <c r="J1026" s="52" t="b">
        <f>IF(OR(INDEX(OHZ_HAZ_AMOUNT,19,1)&lt;&gt;"",),IF(OR(INDEX(OHZ_HAZ_NETGROSS,19,1)="",INDEX(OHZ_HAZ_UNIT,19,1)="",),FALSE,TRUE),TRUE)</f>
        <v>1</v>
      </c>
      <c r="K1026" s="52" t="str">
        <f t="shared" si="34"/>
        <v>Row 19 - For ‘Transport unit’ if ‘Amount’ is given then ‘Gross / Net’ and ‘Amount unit’ are required</v>
      </c>
      <c r="L1026" s="236" t="s">
        <v>1853</v>
      </c>
    </row>
    <row r="1027" spans="7:12">
      <c r="G1027" s="250" t="b">
        <f>IF(OR(INDEX(IHZ_HAZ_AMOUNT,20,1)&lt;&gt;"",),IF(OR(INDEX(IHZ_HAZ_NETGROSS,20,1)="",INDEX(IHZ_HAZ_UNIT,20,1)="",),FALSE,TRUE),TRUE)</f>
        <v>1</v>
      </c>
      <c r="H1027" s="52" t="str">
        <f t="shared" si="33"/>
        <v>Row 20 - For ‘Transport unit’ if ‘Amount’ is given then ‘Gross / Net’ and ‘Amount unit’ are required</v>
      </c>
      <c r="I1027" s="236" t="s">
        <v>1853</v>
      </c>
      <c r="J1027" s="52" t="b">
        <f>IF(OR(INDEX(OHZ_HAZ_AMOUNT,20,1)&lt;&gt;"",),IF(OR(INDEX(OHZ_HAZ_NETGROSS,20,1)="",INDEX(OHZ_HAZ_UNIT,20,1)="",),FALSE,TRUE),TRUE)</f>
        <v>1</v>
      </c>
      <c r="K1027" s="52" t="str">
        <f t="shared" si="34"/>
        <v>Row 20 - For ‘Transport unit’ if ‘Amount’ is given then ‘Gross / Net’ and ‘Amount unit’ are required</v>
      </c>
      <c r="L1027" s="236" t="s">
        <v>1853</v>
      </c>
    </row>
    <row r="1028" spans="7:12">
      <c r="G1028" s="250" t="b">
        <f>IF(OR(INDEX(IHZ_HAZ_AMOUNT,21,1)&lt;&gt;"",),IF(OR(INDEX(IHZ_HAZ_NETGROSS,21,1)="",INDEX(IHZ_HAZ_UNIT,21,1)="",),FALSE,TRUE),TRUE)</f>
        <v>1</v>
      </c>
      <c r="H1028" s="52" t="str">
        <f t="shared" si="33"/>
        <v>Row 21 - For ‘Transport unit’ if ‘Amount’ is given then ‘Gross / Net’ and ‘Amount unit’ are required</v>
      </c>
      <c r="I1028" s="236" t="s">
        <v>1853</v>
      </c>
      <c r="J1028" s="52" t="b">
        <f>IF(OR(INDEX(OHZ_HAZ_AMOUNT,21,1)&lt;&gt;"",),IF(OR(INDEX(OHZ_HAZ_NETGROSS,21,1)="",INDEX(OHZ_HAZ_UNIT,21,1)="",),FALSE,TRUE),TRUE)</f>
        <v>1</v>
      </c>
      <c r="K1028" s="52" t="str">
        <f t="shared" si="34"/>
        <v>Row 21 - For ‘Transport unit’ if ‘Amount’ is given then ‘Gross / Net’ and ‘Amount unit’ are required</v>
      </c>
      <c r="L1028" s="236" t="s">
        <v>1853</v>
      </c>
    </row>
    <row r="1029" spans="7:12">
      <c r="G1029" s="250" t="b">
        <f>IF(OR(INDEX(IHZ_HAZ_AMOUNT,22,1)&lt;&gt;"",),IF(OR(INDEX(IHZ_HAZ_NETGROSS,22,1)="",INDEX(IHZ_HAZ_UNIT,22,1)="",),FALSE,TRUE),TRUE)</f>
        <v>1</v>
      </c>
      <c r="H1029" s="52" t="str">
        <f t="shared" si="33"/>
        <v>Row 22 - For ‘Transport unit’ if ‘Amount’ is given then ‘Gross / Net’ and ‘Amount unit’ are required</v>
      </c>
      <c r="I1029" s="236" t="s">
        <v>1853</v>
      </c>
      <c r="J1029" s="52" t="b">
        <f>IF(OR(INDEX(OHZ_HAZ_AMOUNT,22,1)&lt;&gt;"",),IF(OR(INDEX(OHZ_HAZ_NETGROSS,22,1)="",INDEX(OHZ_HAZ_UNIT,22,1)="",),FALSE,TRUE),TRUE)</f>
        <v>1</v>
      </c>
      <c r="K1029" s="52" t="str">
        <f t="shared" si="34"/>
        <v>Row 22 - For ‘Transport unit’ if ‘Amount’ is given then ‘Gross / Net’ and ‘Amount unit’ are required</v>
      </c>
      <c r="L1029" s="236" t="s">
        <v>1853</v>
      </c>
    </row>
    <row r="1030" spans="7:12">
      <c r="G1030" s="250" t="b">
        <f>IF(OR(INDEX(IHZ_HAZ_AMOUNT,23,1)&lt;&gt;"",),IF(OR(INDEX(IHZ_HAZ_NETGROSS,23,1)="",INDEX(IHZ_HAZ_UNIT,23,1)="",),FALSE,TRUE),TRUE)</f>
        <v>1</v>
      </c>
      <c r="H1030" s="52" t="str">
        <f t="shared" si="33"/>
        <v>Row 23 - For ‘Transport unit’ if ‘Amount’ is given then ‘Gross / Net’ and ‘Amount unit’ are required</v>
      </c>
      <c r="I1030" s="236" t="s">
        <v>1853</v>
      </c>
      <c r="J1030" s="52" t="b">
        <f>IF(OR(INDEX(OHZ_HAZ_AMOUNT,23,1)&lt;&gt;"",),IF(OR(INDEX(OHZ_HAZ_NETGROSS,23,1)="",INDEX(OHZ_HAZ_UNIT,23,1)="",),FALSE,TRUE),TRUE)</f>
        <v>1</v>
      </c>
      <c r="K1030" s="52" t="str">
        <f t="shared" si="34"/>
        <v>Row 23 - For ‘Transport unit’ if ‘Amount’ is given then ‘Gross / Net’ and ‘Amount unit’ are required</v>
      </c>
      <c r="L1030" s="236" t="s">
        <v>1853</v>
      </c>
    </row>
    <row r="1031" spans="7:12">
      <c r="G1031" s="250" t="b">
        <f>IF(OR(INDEX(IHZ_HAZ_AMOUNT,24,1)&lt;&gt;"",),IF(OR(INDEX(IHZ_HAZ_NETGROSS,24,1)="",INDEX(IHZ_HAZ_UNIT,24,1)="",),FALSE,TRUE),TRUE)</f>
        <v>1</v>
      </c>
      <c r="H1031" s="52" t="str">
        <f t="shared" si="33"/>
        <v>Row 24 - For ‘Transport unit’ if ‘Amount’ is given then ‘Gross / Net’ and ‘Amount unit’ are required</v>
      </c>
      <c r="I1031" s="236" t="s">
        <v>1853</v>
      </c>
      <c r="J1031" s="52" t="b">
        <f>IF(OR(INDEX(OHZ_HAZ_AMOUNT,24,1)&lt;&gt;"",),IF(OR(INDEX(OHZ_HAZ_NETGROSS,24,1)="",INDEX(OHZ_HAZ_UNIT,24,1)="",),FALSE,TRUE),TRUE)</f>
        <v>1</v>
      </c>
      <c r="K1031" s="52" t="str">
        <f t="shared" si="34"/>
        <v>Row 24 - For ‘Transport unit’ if ‘Amount’ is given then ‘Gross / Net’ and ‘Amount unit’ are required</v>
      </c>
      <c r="L1031" s="236" t="s">
        <v>1853</v>
      </c>
    </row>
    <row r="1032" spans="7:12">
      <c r="G1032" s="250" t="b">
        <f>IF(OR(INDEX(IHZ_HAZ_AMOUNT,25,1)&lt;&gt;"",),IF(OR(INDEX(IHZ_HAZ_NETGROSS,25,1)="",INDEX(IHZ_HAZ_UNIT,25,1)="",),FALSE,TRUE),TRUE)</f>
        <v>1</v>
      </c>
      <c r="H1032" s="52" t="str">
        <f t="shared" si="33"/>
        <v>Row 25 - For ‘Transport unit’ if ‘Amount’ is given then ‘Gross / Net’ and ‘Amount unit’ are required</v>
      </c>
      <c r="I1032" s="236" t="s">
        <v>1853</v>
      </c>
      <c r="J1032" s="52" t="b">
        <f>IF(OR(INDEX(OHZ_HAZ_AMOUNT,25,1)&lt;&gt;"",),IF(OR(INDEX(OHZ_HAZ_NETGROSS,25,1)="",INDEX(OHZ_HAZ_UNIT,25,1)="",),FALSE,TRUE),TRUE)</f>
        <v>1</v>
      </c>
      <c r="K1032" s="52" t="str">
        <f t="shared" si="34"/>
        <v>Row 25 - For ‘Transport unit’ if ‘Amount’ is given then ‘Gross / Net’ and ‘Amount unit’ are required</v>
      </c>
      <c r="L1032" s="236" t="s">
        <v>1853</v>
      </c>
    </row>
    <row r="1033" spans="7:12">
      <c r="G1033" s="250" t="b">
        <f>IF(OR(INDEX(IHZ_HAZ_AMOUNT,26,1)&lt;&gt;"",),IF(OR(INDEX(IHZ_HAZ_NETGROSS,26,1)="",INDEX(IHZ_HAZ_UNIT,26,1)="",),FALSE,TRUE),TRUE)</f>
        <v>1</v>
      </c>
      <c r="H1033" s="52" t="str">
        <f t="shared" si="33"/>
        <v>Row 26 - For ‘Transport unit’ if ‘Amount’ is given then ‘Gross / Net’ and ‘Amount unit’ are required</v>
      </c>
      <c r="I1033" s="236" t="s">
        <v>1853</v>
      </c>
      <c r="J1033" s="52" t="b">
        <f>IF(OR(INDEX(OHZ_HAZ_AMOUNT,26,1)&lt;&gt;"",),IF(OR(INDEX(OHZ_HAZ_NETGROSS,26,1)="",INDEX(OHZ_HAZ_UNIT,26,1)="",),FALSE,TRUE),TRUE)</f>
        <v>1</v>
      </c>
      <c r="K1033" s="52" t="str">
        <f t="shared" si="34"/>
        <v>Row 26 - For ‘Transport unit’ if ‘Amount’ is given then ‘Gross / Net’ and ‘Amount unit’ are required</v>
      </c>
      <c r="L1033" s="236" t="s">
        <v>1853</v>
      </c>
    </row>
    <row r="1034" spans="7:12">
      <c r="G1034" s="250" t="b">
        <f>IF(OR(INDEX(IHZ_HAZ_AMOUNT,27,1)&lt;&gt;"",),IF(OR(INDEX(IHZ_HAZ_NETGROSS,27,1)="",INDEX(IHZ_HAZ_UNIT,27,1)="",),FALSE,TRUE),TRUE)</f>
        <v>1</v>
      </c>
      <c r="H1034" s="52" t="str">
        <f t="shared" si="33"/>
        <v>Row 27 - For ‘Transport unit’ if ‘Amount’ is given then ‘Gross / Net’ and ‘Amount unit’ are required</v>
      </c>
      <c r="I1034" s="236" t="s">
        <v>1853</v>
      </c>
      <c r="J1034" s="52" t="b">
        <f>IF(OR(INDEX(OHZ_HAZ_AMOUNT,27,1)&lt;&gt;"",),IF(OR(INDEX(OHZ_HAZ_NETGROSS,27,1)="",INDEX(OHZ_HAZ_UNIT,27,1)="",),FALSE,TRUE),TRUE)</f>
        <v>1</v>
      </c>
      <c r="K1034" s="52" t="str">
        <f t="shared" si="34"/>
        <v>Row 27 - For ‘Transport unit’ if ‘Amount’ is given then ‘Gross / Net’ and ‘Amount unit’ are required</v>
      </c>
      <c r="L1034" s="236" t="s">
        <v>1853</v>
      </c>
    </row>
    <row r="1035" spans="7:12">
      <c r="G1035" s="250" t="b">
        <f>IF(OR(INDEX(IHZ_HAZ_AMOUNT,28,1)&lt;&gt;"",),IF(OR(INDEX(IHZ_HAZ_NETGROSS,28,1)="",INDEX(IHZ_HAZ_UNIT,28,1)="",),FALSE,TRUE),TRUE)</f>
        <v>1</v>
      </c>
      <c r="H1035" s="52" t="str">
        <f t="shared" si="33"/>
        <v>Row 28 - For ‘Transport unit’ if ‘Amount’ is given then ‘Gross / Net’ and ‘Amount unit’ are required</v>
      </c>
      <c r="I1035" s="236" t="s">
        <v>1853</v>
      </c>
      <c r="J1035" s="52" t="b">
        <f>IF(OR(INDEX(OHZ_HAZ_AMOUNT,28,1)&lt;&gt;"",),IF(OR(INDEX(OHZ_HAZ_NETGROSS,28,1)="",INDEX(OHZ_HAZ_UNIT,28,1)="",),FALSE,TRUE),TRUE)</f>
        <v>1</v>
      </c>
      <c r="K1035" s="52" t="str">
        <f t="shared" si="34"/>
        <v>Row 28 - For ‘Transport unit’ if ‘Amount’ is given then ‘Gross / Net’ and ‘Amount unit’ are required</v>
      </c>
      <c r="L1035" s="236" t="s">
        <v>1853</v>
      </c>
    </row>
    <row r="1036" spans="7:12">
      <c r="G1036" s="250" t="b">
        <f>IF(OR(INDEX(IHZ_HAZ_AMOUNT,29,1)&lt;&gt;"",),IF(OR(INDEX(IHZ_HAZ_NETGROSS,29,1)="",INDEX(IHZ_HAZ_UNIT,29,1)="",),FALSE,TRUE),TRUE)</f>
        <v>1</v>
      </c>
      <c r="H1036" s="52" t="str">
        <f t="shared" si="33"/>
        <v>Row 29 - For ‘Transport unit’ if ‘Amount’ is given then ‘Gross / Net’ and ‘Amount unit’ are required</v>
      </c>
      <c r="I1036" s="236" t="s">
        <v>1853</v>
      </c>
      <c r="J1036" s="52" t="b">
        <f>IF(OR(INDEX(OHZ_HAZ_AMOUNT,29,1)&lt;&gt;"",),IF(OR(INDEX(OHZ_HAZ_NETGROSS,29,1)="",INDEX(OHZ_HAZ_UNIT,29,1)="",),FALSE,TRUE),TRUE)</f>
        <v>1</v>
      </c>
      <c r="K1036" s="52" t="str">
        <f t="shared" si="34"/>
        <v>Row 29 - For ‘Transport unit’ if ‘Amount’ is given then ‘Gross / Net’ and ‘Amount unit’ are required</v>
      </c>
      <c r="L1036" s="236" t="s">
        <v>1853</v>
      </c>
    </row>
    <row r="1037" spans="7:12">
      <c r="G1037" s="250" t="b">
        <f>IF(OR(INDEX(IHZ_HAZ_AMOUNT,30,1)&lt;&gt;"",),IF(OR(INDEX(IHZ_HAZ_NETGROSS,30,1)="",INDEX(IHZ_HAZ_UNIT,30,1)="",),FALSE,TRUE),TRUE)</f>
        <v>1</v>
      </c>
      <c r="H1037" s="52" t="str">
        <f t="shared" si="33"/>
        <v>Row 30 - For ‘Transport unit’ if ‘Amount’ is given then ‘Gross / Net’ and ‘Amount unit’ are required</v>
      </c>
      <c r="I1037" s="236" t="s">
        <v>1853</v>
      </c>
      <c r="J1037" s="52" t="b">
        <f>IF(OR(INDEX(OHZ_HAZ_AMOUNT,30,1)&lt;&gt;"",),IF(OR(INDEX(OHZ_HAZ_NETGROSS,30,1)="",INDEX(OHZ_HAZ_UNIT,30,1)="",),FALSE,TRUE),TRUE)</f>
        <v>1</v>
      </c>
      <c r="K1037" s="52" t="str">
        <f t="shared" si="34"/>
        <v>Row 30 - For ‘Transport unit’ if ‘Amount’ is given then ‘Gross / Net’ and ‘Amount unit’ are required</v>
      </c>
      <c r="L1037" s="236" t="s">
        <v>1853</v>
      </c>
    </row>
    <row r="1038" spans="7:12">
      <c r="G1038" s="250" t="b">
        <f>IF(OR(INDEX(IHZ_HAZ_AMOUNT,31,1)&lt;&gt;"",),IF(OR(INDEX(IHZ_HAZ_NETGROSS,31,1)="",INDEX(IHZ_HAZ_UNIT,31,1)="",),FALSE,TRUE),TRUE)</f>
        <v>1</v>
      </c>
      <c r="H1038" s="52" t="str">
        <f t="shared" si="33"/>
        <v>Row 31 - For ‘Transport unit’ if ‘Amount’ is given then ‘Gross / Net’ and ‘Amount unit’ are required</v>
      </c>
      <c r="I1038" s="236" t="s">
        <v>1853</v>
      </c>
      <c r="J1038" s="52" t="b">
        <f>IF(OR(INDEX(OHZ_HAZ_AMOUNT,31,1)&lt;&gt;"",),IF(OR(INDEX(OHZ_HAZ_NETGROSS,31,1)="",INDEX(OHZ_HAZ_UNIT,31,1)="",),FALSE,TRUE),TRUE)</f>
        <v>1</v>
      </c>
      <c r="K1038" s="52" t="str">
        <f t="shared" si="34"/>
        <v>Row 31 - For ‘Transport unit’ if ‘Amount’ is given then ‘Gross / Net’ and ‘Amount unit’ are required</v>
      </c>
      <c r="L1038" s="236" t="s">
        <v>1853</v>
      </c>
    </row>
    <row r="1039" spans="7:12">
      <c r="G1039" s="250" t="b">
        <f>IF(OR(INDEX(IHZ_HAZ_AMOUNT,32,1)&lt;&gt;"",),IF(OR(INDEX(IHZ_HAZ_NETGROSS,32,1)="",INDEX(IHZ_HAZ_UNIT,32,1)="",),FALSE,TRUE),TRUE)</f>
        <v>1</v>
      </c>
      <c r="H1039" s="52" t="str">
        <f t="shared" si="33"/>
        <v>Row 32 - For ‘Transport unit’ if ‘Amount’ is given then ‘Gross / Net’ and ‘Amount unit’ are required</v>
      </c>
      <c r="I1039" s="236" t="s">
        <v>1853</v>
      </c>
      <c r="J1039" s="52" t="b">
        <f>IF(OR(INDEX(OHZ_HAZ_AMOUNT,32,1)&lt;&gt;"",),IF(OR(INDEX(OHZ_HAZ_NETGROSS,32,1)="",INDEX(OHZ_HAZ_UNIT,32,1)="",),FALSE,TRUE),TRUE)</f>
        <v>1</v>
      </c>
      <c r="K1039" s="52" t="str">
        <f t="shared" si="34"/>
        <v>Row 32 - For ‘Transport unit’ if ‘Amount’ is given then ‘Gross / Net’ and ‘Amount unit’ are required</v>
      </c>
      <c r="L1039" s="236" t="s">
        <v>1853</v>
      </c>
    </row>
    <row r="1040" spans="7:12">
      <c r="G1040" s="250" t="b">
        <f>IF(OR(INDEX(IHZ_HAZ_AMOUNT,33,1)&lt;&gt;"",),IF(OR(INDEX(IHZ_HAZ_NETGROSS,33,1)="",INDEX(IHZ_HAZ_UNIT,33,1)="",),FALSE,TRUE),TRUE)</f>
        <v>1</v>
      </c>
      <c r="H1040" s="52" t="str">
        <f t="shared" si="33"/>
        <v>Row 33 - For ‘Transport unit’ if ‘Amount’ is given then ‘Gross / Net’ and ‘Amount unit’ are required</v>
      </c>
      <c r="I1040" s="236" t="s">
        <v>1853</v>
      </c>
      <c r="J1040" s="52" t="b">
        <f>IF(OR(INDEX(OHZ_HAZ_AMOUNT,33,1)&lt;&gt;"",),IF(OR(INDEX(OHZ_HAZ_NETGROSS,33,1)="",INDEX(OHZ_HAZ_UNIT,33,1)="",),FALSE,TRUE),TRUE)</f>
        <v>1</v>
      </c>
      <c r="K1040" s="52" t="str">
        <f t="shared" si="34"/>
        <v>Row 33 - For ‘Transport unit’ if ‘Amount’ is given then ‘Gross / Net’ and ‘Amount unit’ are required</v>
      </c>
      <c r="L1040" s="236" t="s">
        <v>1853</v>
      </c>
    </row>
    <row r="1041" spans="7:12">
      <c r="G1041" s="250" t="b">
        <f>IF(OR(INDEX(IHZ_HAZ_AMOUNT,34,1)&lt;&gt;"",),IF(OR(INDEX(IHZ_HAZ_NETGROSS,34,1)="",INDEX(IHZ_HAZ_UNIT,34,1)="",),FALSE,TRUE),TRUE)</f>
        <v>1</v>
      </c>
      <c r="H1041" s="52" t="str">
        <f t="shared" si="33"/>
        <v>Row 34 - For ‘Transport unit’ if ‘Amount’ is given then ‘Gross / Net’ and ‘Amount unit’ are required</v>
      </c>
      <c r="I1041" s="236" t="s">
        <v>1853</v>
      </c>
      <c r="J1041" s="52" t="b">
        <f>IF(OR(INDEX(OHZ_HAZ_AMOUNT,34,1)&lt;&gt;"",),IF(OR(INDEX(OHZ_HAZ_NETGROSS,34,1)="",INDEX(OHZ_HAZ_UNIT,34,1)="",),FALSE,TRUE),TRUE)</f>
        <v>1</v>
      </c>
      <c r="K1041" s="52" t="str">
        <f t="shared" si="34"/>
        <v>Row 34 - For ‘Transport unit’ if ‘Amount’ is given then ‘Gross / Net’ and ‘Amount unit’ are required</v>
      </c>
      <c r="L1041" s="236" t="s">
        <v>1853</v>
      </c>
    </row>
    <row r="1042" spans="7:12">
      <c r="G1042" s="250" t="b">
        <f>IF(OR(INDEX(IHZ_HAZ_AMOUNT,35,1)&lt;&gt;"",),IF(OR(INDEX(IHZ_HAZ_NETGROSS,35,1)="",INDEX(IHZ_HAZ_UNIT,35,1)="",),FALSE,TRUE),TRUE)</f>
        <v>1</v>
      </c>
      <c r="H1042" s="52" t="str">
        <f t="shared" si="33"/>
        <v>Row 35 - For ‘Transport unit’ if ‘Amount’ is given then ‘Gross / Net’ and ‘Amount unit’ are required</v>
      </c>
      <c r="I1042" s="236" t="s">
        <v>1853</v>
      </c>
      <c r="J1042" s="52" t="b">
        <f>IF(OR(INDEX(OHZ_HAZ_AMOUNT,35,1)&lt;&gt;"",),IF(OR(INDEX(OHZ_HAZ_NETGROSS,35,1)="",INDEX(OHZ_HAZ_UNIT,35,1)="",),FALSE,TRUE),TRUE)</f>
        <v>1</v>
      </c>
      <c r="K1042" s="52" t="str">
        <f t="shared" si="34"/>
        <v>Row 35 - For ‘Transport unit’ if ‘Amount’ is given then ‘Gross / Net’ and ‘Amount unit’ are required</v>
      </c>
      <c r="L1042" s="236" t="s">
        <v>1853</v>
      </c>
    </row>
    <row r="1043" spans="7:12">
      <c r="G1043" s="250" t="b">
        <f>IF(OR(INDEX(IHZ_HAZ_AMOUNT,36,1)&lt;&gt;"",),IF(OR(INDEX(IHZ_HAZ_NETGROSS,36,1)="",INDEX(IHZ_HAZ_UNIT,36,1)="",),FALSE,TRUE),TRUE)</f>
        <v>1</v>
      </c>
      <c r="H1043" s="52" t="str">
        <f t="shared" si="33"/>
        <v>Row 36 - For ‘Transport unit’ if ‘Amount’ is given then ‘Gross / Net’ and ‘Amount unit’ are required</v>
      </c>
      <c r="I1043" s="236" t="s">
        <v>1853</v>
      </c>
      <c r="J1043" s="52" t="b">
        <f>IF(OR(INDEX(OHZ_HAZ_AMOUNT,36,1)&lt;&gt;"",),IF(OR(INDEX(OHZ_HAZ_NETGROSS,36,1)="",INDEX(OHZ_HAZ_UNIT,36,1)="",),FALSE,TRUE),TRUE)</f>
        <v>1</v>
      </c>
      <c r="K1043" s="52" t="str">
        <f t="shared" si="34"/>
        <v>Row 36 - For ‘Transport unit’ if ‘Amount’ is given then ‘Gross / Net’ and ‘Amount unit’ are required</v>
      </c>
      <c r="L1043" s="236" t="s">
        <v>1853</v>
      </c>
    </row>
    <row r="1044" spans="7:12">
      <c r="G1044" s="250" t="b">
        <f>IF(OR(INDEX(IHZ_HAZ_AMOUNT,37,1)&lt;&gt;"",),IF(OR(INDEX(IHZ_HAZ_NETGROSS,37,1)="",INDEX(IHZ_HAZ_UNIT,37,1)="",),FALSE,TRUE),TRUE)</f>
        <v>1</v>
      </c>
      <c r="H1044" s="52" t="str">
        <f t="shared" si="33"/>
        <v>Row 37 - For ‘Transport unit’ if ‘Amount’ is given then ‘Gross / Net’ and ‘Amount unit’ are required</v>
      </c>
      <c r="I1044" s="236" t="s">
        <v>1853</v>
      </c>
      <c r="J1044" s="52" t="b">
        <f>IF(OR(INDEX(OHZ_HAZ_AMOUNT,37,1)&lt;&gt;"",),IF(OR(INDEX(OHZ_HAZ_NETGROSS,37,1)="",INDEX(OHZ_HAZ_UNIT,37,1)="",),FALSE,TRUE),TRUE)</f>
        <v>1</v>
      </c>
      <c r="K1044" s="52" t="str">
        <f t="shared" si="34"/>
        <v>Row 37 - For ‘Transport unit’ if ‘Amount’ is given then ‘Gross / Net’ and ‘Amount unit’ are required</v>
      </c>
      <c r="L1044" s="236" t="s">
        <v>1853</v>
      </c>
    </row>
    <row r="1045" spans="7:12">
      <c r="G1045" s="250" t="b">
        <f>IF(OR(INDEX(IHZ_HAZ_AMOUNT,38,1)&lt;&gt;"",),IF(OR(INDEX(IHZ_HAZ_NETGROSS,38,1)="",INDEX(IHZ_HAZ_UNIT,38,1)="",),FALSE,TRUE),TRUE)</f>
        <v>1</v>
      </c>
      <c r="H1045" s="52" t="str">
        <f t="shared" si="33"/>
        <v>Row 38 - For ‘Transport unit’ if ‘Amount’ is given then ‘Gross / Net’ and ‘Amount unit’ are required</v>
      </c>
      <c r="I1045" s="236" t="s">
        <v>1853</v>
      </c>
      <c r="J1045" s="52" t="b">
        <f>IF(OR(INDEX(OHZ_HAZ_AMOUNT,38,1)&lt;&gt;"",),IF(OR(INDEX(OHZ_HAZ_NETGROSS,38,1)="",INDEX(OHZ_HAZ_UNIT,38,1)="",),FALSE,TRUE),TRUE)</f>
        <v>1</v>
      </c>
      <c r="K1045" s="52" t="str">
        <f t="shared" si="34"/>
        <v>Row 38 - For ‘Transport unit’ if ‘Amount’ is given then ‘Gross / Net’ and ‘Amount unit’ are required</v>
      </c>
      <c r="L1045" s="236" t="s">
        <v>1853</v>
      </c>
    </row>
    <row r="1046" spans="7:12">
      <c r="G1046" s="250" t="b">
        <f>IF(OR(INDEX(IHZ_HAZ_AMOUNT,39,1)&lt;&gt;"",),IF(OR(INDEX(IHZ_HAZ_NETGROSS,39,1)="",INDEX(IHZ_HAZ_UNIT,39,1)="",),FALSE,TRUE),TRUE)</f>
        <v>1</v>
      </c>
      <c r="H1046" s="52" t="str">
        <f t="shared" si="33"/>
        <v>Row 39 - For ‘Transport unit’ if ‘Amount’ is given then ‘Gross / Net’ and ‘Amount unit’ are required</v>
      </c>
      <c r="I1046" s="236" t="s">
        <v>1853</v>
      </c>
      <c r="J1046" s="52" t="b">
        <f>IF(OR(INDEX(OHZ_HAZ_AMOUNT,39,1)&lt;&gt;"",),IF(OR(INDEX(OHZ_HAZ_NETGROSS,39,1)="",INDEX(OHZ_HAZ_UNIT,39,1)="",),FALSE,TRUE),TRUE)</f>
        <v>1</v>
      </c>
      <c r="K1046" s="52" t="str">
        <f t="shared" si="34"/>
        <v>Row 39 - For ‘Transport unit’ if ‘Amount’ is given then ‘Gross / Net’ and ‘Amount unit’ are required</v>
      </c>
      <c r="L1046" s="236" t="s">
        <v>1853</v>
      </c>
    </row>
    <row r="1047" spans="7:12">
      <c r="G1047" s="250" t="b">
        <f>IF(OR(INDEX(IHZ_HAZ_AMOUNT,40,1)&lt;&gt;"",),IF(OR(INDEX(IHZ_HAZ_NETGROSS,40,1)="",INDEX(IHZ_HAZ_UNIT,40,1)="",),FALSE,TRUE),TRUE)</f>
        <v>1</v>
      </c>
      <c r="H1047" s="52" t="str">
        <f t="shared" si="33"/>
        <v>Row 40 - For ‘Transport unit’ if ‘Amount’ is given then ‘Gross / Net’ and ‘Amount unit’ are required</v>
      </c>
      <c r="I1047" s="236" t="s">
        <v>1853</v>
      </c>
      <c r="J1047" s="52" t="b">
        <f>IF(OR(INDEX(OHZ_HAZ_AMOUNT,40,1)&lt;&gt;"",),IF(OR(INDEX(OHZ_HAZ_NETGROSS,40,1)="",INDEX(OHZ_HAZ_UNIT,40,1)="",),FALSE,TRUE),TRUE)</f>
        <v>1</v>
      </c>
      <c r="K1047" s="52" t="str">
        <f t="shared" si="34"/>
        <v>Row 40 - For ‘Transport unit’ if ‘Amount’ is given then ‘Gross / Net’ and ‘Amount unit’ are required</v>
      </c>
      <c r="L1047" s="236" t="s">
        <v>1853</v>
      </c>
    </row>
    <row r="1048" spans="7:12">
      <c r="G1048" s="250" t="b">
        <f>IF(OR(INDEX(IHZ_HAZ_AMOUNT,41,1)&lt;&gt;"",),IF(OR(INDEX(IHZ_HAZ_NETGROSS,41,1)="",INDEX(IHZ_HAZ_UNIT,41,1)="",),FALSE,TRUE),TRUE)</f>
        <v>1</v>
      </c>
      <c r="H1048" s="52" t="str">
        <f t="shared" si="33"/>
        <v>Row 41 - For ‘Transport unit’ if ‘Amount’ is given then ‘Gross / Net’ and ‘Amount unit’ are required</v>
      </c>
      <c r="I1048" s="236" t="s">
        <v>1853</v>
      </c>
      <c r="J1048" s="52" t="b">
        <f>IF(OR(INDEX(OHZ_HAZ_AMOUNT,41,1)&lt;&gt;"",),IF(OR(INDEX(OHZ_HAZ_NETGROSS,41,1)="",INDEX(OHZ_HAZ_UNIT,41,1)="",),FALSE,TRUE),TRUE)</f>
        <v>1</v>
      </c>
      <c r="K1048" s="52" t="str">
        <f t="shared" si="34"/>
        <v>Row 41 - For ‘Transport unit’ if ‘Amount’ is given then ‘Gross / Net’ and ‘Amount unit’ are required</v>
      </c>
      <c r="L1048" s="236" t="s">
        <v>1853</v>
      </c>
    </row>
    <row r="1049" spans="7:12">
      <c r="G1049" s="250" t="b">
        <f>IF(OR(INDEX(IHZ_HAZ_AMOUNT,42,1)&lt;&gt;"",),IF(OR(INDEX(IHZ_HAZ_NETGROSS,42,1)="",INDEX(IHZ_HAZ_UNIT,42,1)="",),FALSE,TRUE),TRUE)</f>
        <v>1</v>
      </c>
      <c r="H1049" s="52" t="str">
        <f t="shared" si="33"/>
        <v>Row 42 - For ‘Transport unit’ if ‘Amount’ is given then ‘Gross / Net’ and ‘Amount unit’ are required</v>
      </c>
      <c r="I1049" s="236" t="s">
        <v>1853</v>
      </c>
      <c r="J1049" s="52" t="b">
        <f>IF(OR(INDEX(OHZ_HAZ_AMOUNT,42,1)&lt;&gt;"",),IF(OR(INDEX(OHZ_HAZ_NETGROSS,42,1)="",INDEX(OHZ_HAZ_UNIT,42,1)="",),FALSE,TRUE),TRUE)</f>
        <v>1</v>
      </c>
      <c r="K1049" s="52" t="str">
        <f t="shared" si="34"/>
        <v>Row 42 - For ‘Transport unit’ if ‘Amount’ is given then ‘Gross / Net’ and ‘Amount unit’ are required</v>
      </c>
      <c r="L1049" s="236" t="s">
        <v>1853</v>
      </c>
    </row>
    <row r="1050" spans="7:12">
      <c r="G1050" s="250" t="b">
        <f>IF(OR(INDEX(IHZ_HAZ_AMOUNT,43,1)&lt;&gt;"",),IF(OR(INDEX(IHZ_HAZ_NETGROSS,43,1)="",INDEX(IHZ_HAZ_UNIT,43,1)="",),FALSE,TRUE),TRUE)</f>
        <v>1</v>
      </c>
      <c r="H1050" s="52" t="str">
        <f t="shared" si="33"/>
        <v>Row 43 - For ‘Transport unit’ if ‘Amount’ is given then ‘Gross / Net’ and ‘Amount unit’ are required</v>
      </c>
      <c r="I1050" s="236" t="s">
        <v>1853</v>
      </c>
      <c r="J1050" s="52" t="b">
        <f>IF(OR(INDEX(OHZ_HAZ_AMOUNT,43,1)&lt;&gt;"",),IF(OR(INDEX(OHZ_HAZ_NETGROSS,43,1)="",INDEX(OHZ_HAZ_UNIT,43,1)="",),FALSE,TRUE),TRUE)</f>
        <v>1</v>
      </c>
      <c r="K1050" s="52" t="str">
        <f t="shared" si="34"/>
        <v>Row 43 - For ‘Transport unit’ if ‘Amount’ is given then ‘Gross / Net’ and ‘Amount unit’ are required</v>
      </c>
      <c r="L1050" s="236" t="s">
        <v>1853</v>
      </c>
    </row>
    <row r="1051" spans="7:12">
      <c r="G1051" s="250" t="b">
        <f>IF(OR(INDEX(IHZ_HAZ_AMOUNT,44,1)&lt;&gt;"",),IF(OR(INDEX(IHZ_HAZ_NETGROSS,44,1)="",INDEX(IHZ_HAZ_UNIT,44,1)="",),FALSE,TRUE),TRUE)</f>
        <v>1</v>
      </c>
      <c r="H1051" s="52" t="str">
        <f t="shared" si="33"/>
        <v>Row 44 - For ‘Transport unit’ if ‘Amount’ is given then ‘Gross / Net’ and ‘Amount unit’ are required</v>
      </c>
      <c r="I1051" s="236" t="s">
        <v>1853</v>
      </c>
      <c r="J1051" s="52" t="b">
        <f>IF(OR(INDEX(OHZ_HAZ_AMOUNT,44,1)&lt;&gt;"",),IF(OR(INDEX(OHZ_HAZ_NETGROSS,44,1)="",INDEX(OHZ_HAZ_UNIT,44,1)="",),FALSE,TRUE),TRUE)</f>
        <v>1</v>
      </c>
      <c r="K1051" s="52" t="str">
        <f t="shared" si="34"/>
        <v>Row 44 - For ‘Transport unit’ if ‘Amount’ is given then ‘Gross / Net’ and ‘Amount unit’ are required</v>
      </c>
      <c r="L1051" s="236" t="s">
        <v>1853</v>
      </c>
    </row>
    <row r="1052" spans="7:12">
      <c r="G1052" s="250" t="b">
        <f>IF(OR(INDEX(IHZ_HAZ_AMOUNT,45,1)&lt;&gt;"",),IF(OR(INDEX(IHZ_HAZ_NETGROSS,45,1)="",INDEX(IHZ_HAZ_UNIT,45,1)="",),FALSE,TRUE),TRUE)</f>
        <v>1</v>
      </c>
      <c r="H1052" s="52" t="str">
        <f t="shared" si="33"/>
        <v>Row 45 - For ‘Transport unit’ if ‘Amount’ is given then ‘Gross / Net’ and ‘Amount unit’ are required</v>
      </c>
      <c r="I1052" s="236" t="s">
        <v>1853</v>
      </c>
      <c r="J1052" s="52" t="b">
        <f>IF(OR(INDEX(OHZ_HAZ_AMOUNT,45,1)&lt;&gt;"",),IF(OR(INDEX(OHZ_HAZ_NETGROSS,45,1)="",INDEX(OHZ_HAZ_UNIT,45,1)="",),FALSE,TRUE),TRUE)</f>
        <v>1</v>
      </c>
      <c r="K1052" s="52" t="str">
        <f t="shared" si="34"/>
        <v>Row 45 - For ‘Transport unit’ if ‘Amount’ is given then ‘Gross / Net’ and ‘Amount unit’ are required</v>
      </c>
      <c r="L1052" s="236" t="s">
        <v>1853</v>
      </c>
    </row>
    <row r="1053" spans="7:12">
      <c r="G1053" s="250" t="b">
        <f>IF(OR(INDEX(IHZ_HAZ_AMOUNT,46,1)&lt;&gt;"",),IF(OR(INDEX(IHZ_HAZ_NETGROSS,46,1)="",INDEX(IHZ_HAZ_UNIT,46,1)="",),FALSE,TRUE),TRUE)</f>
        <v>1</v>
      </c>
      <c r="H1053" s="52" t="str">
        <f t="shared" si="33"/>
        <v>Row 46 - For ‘Transport unit’ if ‘Amount’ is given then ‘Gross / Net’ and ‘Amount unit’ are required</v>
      </c>
      <c r="I1053" s="236" t="s">
        <v>1853</v>
      </c>
      <c r="J1053" s="52" t="b">
        <f>IF(OR(INDEX(OHZ_HAZ_AMOUNT,46,1)&lt;&gt;"",),IF(OR(INDEX(OHZ_HAZ_NETGROSS,46,1)="",INDEX(OHZ_HAZ_UNIT,46,1)="",),FALSE,TRUE),TRUE)</f>
        <v>1</v>
      </c>
      <c r="K1053" s="52" t="str">
        <f t="shared" si="34"/>
        <v>Row 46 - For ‘Transport unit’ if ‘Amount’ is given then ‘Gross / Net’ and ‘Amount unit’ are required</v>
      </c>
      <c r="L1053" s="236" t="s">
        <v>1853</v>
      </c>
    </row>
    <row r="1054" spans="7:12">
      <c r="G1054" s="250" t="b">
        <f>IF(OR(INDEX(IHZ_HAZ_AMOUNT,47,1)&lt;&gt;"",),IF(OR(INDEX(IHZ_HAZ_NETGROSS,47,1)="",INDEX(IHZ_HAZ_UNIT,47,1)="",),FALSE,TRUE),TRUE)</f>
        <v>1</v>
      </c>
      <c r="H1054" s="52" t="str">
        <f t="shared" si="33"/>
        <v>Row 47 - For ‘Transport unit’ if ‘Amount’ is given then ‘Gross / Net’ and ‘Amount unit’ are required</v>
      </c>
      <c r="I1054" s="236" t="s">
        <v>1853</v>
      </c>
      <c r="J1054" s="52" t="b">
        <f>IF(OR(INDEX(OHZ_HAZ_AMOUNT,47,1)&lt;&gt;"",),IF(OR(INDEX(OHZ_HAZ_NETGROSS,47,1)="",INDEX(OHZ_HAZ_UNIT,47,1)="",),FALSE,TRUE),TRUE)</f>
        <v>1</v>
      </c>
      <c r="K1054" s="52" t="str">
        <f t="shared" si="34"/>
        <v>Row 47 - For ‘Transport unit’ if ‘Amount’ is given then ‘Gross / Net’ and ‘Amount unit’ are required</v>
      </c>
      <c r="L1054" s="236" t="s">
        <v>1853</v>
      </c>
    </row>
    <row r="1055" spans="7:12">
      <c r="G1055" s="250" t="b">
        <f>IF(OR(INDEX(IHZ_HAZ_AMOUNT,48,1)&lt;&gt;"",),IF(OR(INDEX(IHZ_HAZ_NETGROSS,48,1)="",INDEX(IHZ_HAZ_UNIT,48,1)="",),FALSE,TRUE),TRUE)</f>
        <v>1</v>
      </c>
      <c r="H1055" s="52" t="str">
        <f t="shared" si="33"/>
        <v>Row 48 - For ‘Transport unit’ if ‘Amount’ is given then ‘Gross / Net’ and ‘Amount unit’ are required</v>
      </c>
      <c r="I1055" s="236" t="s">
        <v>1853</v>
      </c>
      <c r="J1055" s="52" t="b">
        <f>IF(OR(INDEX(OHZ_HAZ_AMOUNT,48,1)&lt;&gt;"",),IF(OR(INDEX(OHZ_HAZ_NETGROSS,48,1)="",INDEX(OHZ_HAZ_UNIT,48,1)="",),FALSE,TRUE),TRUE)</f>
        <v>1</v>
      </c>
      <c r="K1055" s="52" t="str">
        <f t="shared" si="34"/>
        <v>Row 48 - For ‘Transport unit’ if ‘Amount’ is given then ‘Gross / Net’ and ‘Amount unit’ are required</v>
      </c>
      <c r="L1055" s="236" t="s">
        <v>1853</v>
      </c>
    </row>
    <row r="1056" spans="7:12">
      <c r="G1056" s="250" t="b">
        <f>IF(OR(INDEX(IHZ_HAZ_AMOUNT,49,1)&lt;&gt;"",),IF(OR(INDEX(IHZ_HAZ_NETGROSS,49,1)="",INDEX(IHZ_HAZ_UNIT,49,1)="",),FALSE,TRUE),TRUE)</f>
        <v>1</v>
      </c>
      <c r="H1056" s="52" t="str">
        <f t="shared" si="33"/>
        <v>Row 49 - For ‘Transport unit’ if ‘Amount’ is given then ‘Gross / Net’ and ‘Amount unit’ are required</v>
      </c>
      <c r="I1056" s="236" t="s">
        <v>1853</v>
      </c>
      <c r="J1056" s="52" t="b">
        <f>IF(OR(INDEX(OHZ_HAZ_AMOUNT,49,1)&lt;&gt;"",),IF(OR(INDEX(OHZ_HAZ_NETGROSS,49,1)="",INDEX(OHZ_HAZ_UNIT,49,1)="",),FALSE,TRUE),TRUE)</f>
        <v>1</v>
      </c>
      <c r="K1056" s="52" t="str">
        <f t="shared" si="34"/>
        <v>Row 49 - For ‘Transport unit’ if ‘Amount’ is given then ‘Gross / Net’ and ‘Amount unit’ are required</v>
      </c>
      <c r="L1056" s="236" t="s">
        <v>1853</v>
      </c>
    </row>
    <row r="1057" spans="7:12">
      <c r="G1057" s="250" t="b">
        <f>IF(OR(INDEX(IHZ_HAZ_AMOUNT,50,1)&lt;&gt;"",),IF(OR(INDEX(IHZ_HAZ_NETGROSS,50,1)="",INDEX(IHZ_HAZ_UNIT,50,1)="",),FALSE,TRUE),TRUE)</f>
        <v>1</v>
      </c>
      <c r="H1057" s="52" t="str">
        <f t="shared" si="33"/>
        <v>Row 50 - For ‘Transport unit’ if ‘Amount’ is given then ‘Gross / Net’ and ‘Amount unit’ are required</v>
      </c>
      <c r="I1057" s="236" t="s">
        <v>1853</v>
      </c>
      <c r="J1057" s="52" t="b">
        <f>IF(OR(INDEX(OHZ_HAZ_AMOUNT,50,1)&lt;&gt;"",),IF(OR(INDEX(OHZ_HAZ_NETGROSS,50,1)="",INDEX(OHZ_HAZ_UNIT,50,1)="",),FALSE,TRUE),TRUE)</f>
        <v>1</v>
      </c>
      <c r="K1057" s="52" t="str">
        <f t="shared" si="34"/>
        <v>Row 50 - For ‘Transport unit’ if ‘Amount’ is given then ‘Gross / Net’ and ‘Amount unit’ are required</v>
      </c>
      <c r="L1057" s="236" t="s">
        <v>1853</v>
      </c>
    </row>
    <row r="1058" spans="7:12">
      <c r="G1058" s="250" t="b">
        <f>IF(OR(INDEX(IHZ_HAZ_AMOUNT,51,1)&lt;&gt;"",),IF(OR(INDEX(IHZ_HAZ_NETGROSS,51,1)="",INDEX(IHZ_HAZ_UNIT,51,1)="",),FALSE,TRUE),TRUE)</f>
        <v>1</v>
      </c>
      <c r="H1058" s="52" t="str">
        <f t="shared" si="33"/>
        <v>Row 51 - For ‘Transport unit’ if ‘Amount’ is given then ‘Gross / Net’ and ‘Amount unit’ are required</v>
      </c>
      <c r="I1058" s="236" t="s">
        <v>1853</v>
      </c>
      <c r="J1058" s="52" t="b">
        <f>IF(OR(INDEX(OHZ_HAZ_AMOUNT,51,1)&lt;&gt;"",),IF(OR(INDEX(OHZ_HAZ_NETGROSS,51,1)="",INDEX(OHZ_HAZ_UNIT,51,1)="",),FALSE,TRUE),TRUE)</f>
        <v>1</v>
      </c>
      <c r="K1058" s="52" t="str">
        <f t="shared" si="34"/>
        <v>Row 51 - For ‘Transport unit’ if ‘Amount’ is given then ‘Gross / Net’ and ‘Amount unit’ are required</v>
      </c>
      <c r="L1058" s="236" t="s">
        <v>1853</v>
      </c>
    </row>
    <row r="1059" spans="7:12">
      <c r="G1059" s="250" t="b">
        <f>IF(OR(INDEX(IHZ_HAZ_AMOUNT,52,1)&lt;&gt;"",),IF(OR(INDEX(IHZ_HAZ_NETGROSS,52,1)="",INDEX(IHZ_HAZ_UNIT,52,1)="",),FALSE,TRUE),TRUE)</f>
        <v>1</v>
      </c>
      <c r="H1059" s="52" t="str">
        <f t="shared" si="33"/>
        <v>Row 52 - For ‘Transport unit’ if ‘Amount’ is given then ‘Gross / Net’ and ‘Amount unit’ are required</v>
      </c>
      <c r="I1059" s="236" t="s">
        <v>1853</v>
      </c>
      <c r="J1059" s="52" t="b">
        <f>IF(OR(INDEX(OHZ_HAZ_AMOUNT,52,1)&lt;&gt;"",),IF(OR(INDEX(OHZ_HAZ_NETGROSS,52,1)="",INDEX(OHZ_HAZ_UNIT,52,1)="",),FALSE,TRUE),TRUE)</f>
        <v>1</v>
      </c>
      <c r="K1059" s="52" t="str">
        <f t="shared" si="34"/>
        <v>Row 52 - For ‘Transport unit’ if ‘Amount’ is given then ‘Gross / Net’ and ‘Amount unit’ are required</v>
      </c>
      <c r="L1059" s="236" t="s">
        <v>1853</v>
      </c>
    </row>
    <row r="1060" spans="7:12">
      <c r="G1060" s="250" t="b">
        <f>IF(OR(INDEX(IHZ_HAZ_AMOUNT,53,1)&lt;&gt;"",),IF(OR(INDEX(IHZ_HAZ_NETGROSS,53,1)="",INDEX(IHZ_HAZ_UNIT,53,1)="",),FALSE,TRUE),TRUE)</f>
        <v>1</v>
      </c>
      <c r="H1060" s="52" t="str">
        <f t="shared" si="33"/>
        <v>Row 53 - For ‘Transport unit’ if ‘Amount’ is given then ‘Gross / Net’ and ‘Amount unit’ are required</v>
      </c>
      <c r="I1060" s="236" t="s">
        <v>1853</v>
      </c>
      <c r="J1060" s="52" t="b">
        <f>IF(OR(INDEX(OHZ_HAZ_AMOUNT,53,1)&lt;&gt;"",),IF(OR(INDEX(OHZ_HAZ_NETGROSS,53,1)="",INDEX(OHZ_HAZ_UNIT,53,1)="",),FALSE,TRUE),TRUE)</f>
        <v>1</v>
      </c>
      <c r="K1060" s="52" t="str">
        <f t="shared" si="34"/>
        <v>Row 53 - For ‘Transport unit’ if ‘Amount’ is given then ‘Gross / Net’ and ‘Amount unit’ are required</v>
      </c>
      <c r="L1060" s="236" t="s">
        <v>1853</v>
      </c>
    </row>
    <row r="1061" spans="7:12">
      <c r="G1061" s="250" t="b">
        <f>IF(OR(INDEX(IHZ_HAZ_AMOUNT,54,1)&lt;&gt;"",),IF(OR(INDEX(IHZ_HAZ_NETGROSS,54,1)="",INDEX(IHZ_HAZ_UNIT,54,1)="",),FALSE,TRUE),TRUE)</f>
        <v>1</v>
      </c>
      <c r="H1061" s="52" t="str">
        <f t="shared" si="33"/>
        <v>Row 54 - For ‘Transport unit’ if ‘Amount’ is given then ‘Gross / Net’ and ‘Amount unit’ are required</v>
      </c>
      <c r="I1061" s="236" t="s">
        <v>1853</v>
      </c>
      <c r="J1061" s="52" t="b">
        <f>IF(OR(INDEX(OHZ_HAZ_AMOUNT,54,1)&lt;&gt;"",),IF(OR(INDEX(OHZ_HAZ_NETGROSS,54,1)="",INDEX(OHZ_HAZ_UNIT,54,1)="",),FALSE,TRUE),TRUE)</f>
        <v>1</v>
      </c>
      <c r="K1061" s="52" t="str">
        <f t="shared" si="34"/>
        <v>Row 54 - For ‘Transport unit’ if ‘Amount’ is given then ‘Gross / Net’ and ‘Amount unit’ are required</v>
      </c>
      <c r="L1061" s="236" t="s">
        <v>1853</v>
      </c>
    </row>
    <row r="1062" spans="7:12">
      <c r="G1062" s="250" t="b">
        <f>IF(OR(INDEX(IHZ_HAZ_AMOUNT,55,1)&lt;&gt;"",),IF(OR(INDEX(IHZ_HAZ_NETGROSS,55,1)="",INDEX(IHZ_HAZ_UNIT,55,1)="",),FALSE,TRUE),TRUE)</f>
        <v>1</v>
      </c>
      <c r="H1062" s="52" t="str">
        <f t="shared" si="33"/>
        <v>Row 55 - For ‘Transport unit’ if ‘Amount’ is given then ‘Gross / Net’ and ‘Amount unit’ are required</v>
      </c>
      <c r="I1062" s="236" t="s">
        <v>1853</v>
      </c>
      <c r="J1062" s="52" t="b">
        <f>IF(OR(INDEX(OHZ_HAZ_AMOUNT,55,1)&lt;&gt;"",),IF(OR(INDEX(OHZ_HAZ_NETGROSS,55,1)="",INDEX(OHZ_HAZ_UNIT,55,1)="",),FALSE,TRUE),TRUE)</f>
        <v>1</v>
      </c>
      <c r="K1062" s="52" t="str">
        <f t="shared" si="34"/>
        <v>Row 55 - For ‘Transport unit’ if ‘Amount’ is given then ‘Gross / Net’ and ‘Amount unit’ are required</v>
      </c>
      <c r="L1062" s="236" t="s">
        <v>1853</v>
      </c>
    </row>
    <row r="1063" spans="7:12">
      <c r="G1063" s="250" t="b">
        <f>IF(OR(INDEX(IHZ_HAZ_AMOUNT,56,1)&lt;&gt;"",),IF(OR(INDEX(IHZ_HAZ_NETGROSS,56,1)="",INDEX(IHZ_HAZ_UNIT,56,1)="",),FALSE,TRUE),TRUE)</f>
        <v>1</v>
      </c>
      <c r="H1063" s="52" t="str">
        <f t="shared" si="33"/>
        <v>Row 56 - For ‘Transport unit’ if ‘Amount’ is given then ‘Gross / Net’ and ‘Amount unit’ are required</v>
      </c>
      <c r="I1063" s="236" t="s">
        <v>1853</v>
      </c>
      <c r="J1063" s="52" t="b">
        <f>IF(OR(INDEX(OHZ_HAZ_AMOUNT,56,1)&lt;&gt;"",),IF(OR(INDEX(OHZ_HAZ_NETGROSS,56,1)="",INDEX(OHZ_HAZ_UNIT,56,1)="",),FALSE,TRUE),TRUE)</f>
        <v>1</v>
      </c>
      <c r="K1063" s="52" t="str">
        <f t="shared" si="34"/>
        <v>Row 56 - For ‘Transport unit’ if ‘Amount’ is given then ‘Gross / Net’ and ‘Amount unit’ are required</v>
      </c>
      <c r="L1063" s="236" t="s">
        <v>1853</v>
      </c>
    </row>
    <row r="1064" spans="7:12">
      <c r="G1064" s="250" t="b">
        <f>IF(OR(INDEX(IHZ_HAZ_AMOUNT,57,1)&lt;&gt;"",),IF(OR(INDEX(IHZ_HAZ_NETGROSS,57,1)="",INDEX(IHZ_HAZ_UNIT,57,1)="",),FALSE,TRUE),TRUE)</f>
        <v>1</v>
      </c>
      <c r="H1064" s="52" t="str">
        <f t="shared" si="33"/>
        <v>Row 57 - For ‘Transport unit’ if ‘Amount’ is given then ‘Gross / Net’ and ‘Amount unit’ are required</v>
      </c>
      <c r="I1064" s="236" t="s">
        <v>1853</v>
      </c>
      <c r="J1064" s="52" t="b">
        <f>IF(OR(INDEX(OHZ_HAZ_AMOUNT,57,1)&lt;&gt;"",),IF(OR(INDEX(OHZ_HAZ_NETGROSS,57,1)="",INDEX(OHZ_HAZ_UNIT,57,1)="",),FALSE,TRUE),TRUE)</f>
        <v>1</v>
      </c>
      <c r="K1064" s="52" t="str">
        <f t="shared" si="34"/>
        <v>Row 57 - For ‘Transport unit’ if ‘Amount’ is given then ‘Gross / Net’ and ‘Amount unit’ are required</v>
      </c>
      <c r="L1064" s="236" t="s">
        <v>1853</v>
      </c>
    </row>
    <row r="1065" spans="7:12">
      <c r="G1065" s="250" t="b">
        <f>IF(OR(INDEX(IHZ_HAZ_AMOUNT,58,1)&lt;&gt;"",),IF(OR(INDEX(IHZ_HAZ_NETGROSS,58,1)="",INDEX(IHZ_HAZ_UNIT,58,1)="",),FALSE,TRUE),TRUE)</f>
        <v>1</v>
      </c>
      <c r="H1065" s="52" t="str">
        <f t="shared" si="33"/>
        <v>Row 58 - For ‘Transport unit’ if ‘Amount’ is given then ‘Gross / Net’ and ‘Amount unit’ are required</v>
      </c>
      <c r="I1065" s="236" t="s">
        <v>1853</v>
      </c>
      <c r="J1065" s="52" t="b">
        <f>IF(OR(INDEX(OHZ_HAZ_AMOUNT,58,1)&lt;&gt;"",),IF(OR(INDEX(OHZ_HAZ_NETGROSS,58,1)="",INDEX(OHZ_HAZ_UNIT,58,1)="",),FALSE,TRUE),TRUE)</f>
        <v>1</v>
      </c>
      <c r="K1065" s="52" t="str">
        <f t="shared" si="34"/>
        <v>Row 58 - For ‘Transport unit’ if ‘Amount’ is given then ‘Gross / Net’ and ‘Amount unit’ are required</v>
      </c>
      <c r="L1065" s="236" t="s">
        <v>1853</v>
      </c>
    </row>
    <row r="1066" spans="7:12">
      <c r="G1066" s="250" t="b">
        <f>IF(OR(INDEX(IHZ_HAZ_AMOUNT,59,1)&lt;&gt;"",),IF(OR(INDEX(IHZ_HAZ_NETGROSS,59,1)="",INDEX(IHZ_HAZ_UNIT,59,1)="",),FALSE,TRUE),TRUE)</f>
        <v>1</v>
      </c>
      <c r="H1066" s="52" t="str">
        <f t="shared" si="33"/>
        <v>Row 59 - For ‘Transport unit’ if ‘Amount’ is given then ‘Gross / Net’ and ‘Amount unit’ are required</v>
      </c>
      <c r="I1066" s="236" t="s">
        <v>1853</v>
      </c>
      <c r="J1066" s="52" t="b">
        <f>IF(OR(INDEX(OHZ_HAZ_AMOUNT,59,1)&lt;&gt;"",),IF(OR(INDEX(OHZ_HAZ_NETGROSS,59,1)="",INDEX(OHZ_HAZ_UNIT,59,1)="",),FALSE,TRUE),TRUE)</f>
        <v>1</v>
      </c>
      <c r="K1066" s="52" t="str">
        <f t="shared" si="34"/>
        <v>Row 59 - For ‘Transport unit’ if ‘Amount’ is given then ‘Gross / Net’ and ‘Amount unit’ are required</v>
      </c>
      <c r="L1066" s="236" t="s">
        <v>1853</v>
      </c>
    </row>
    <row r="1067" spans="7:12">
      <c r="G1067" s="250" t="b">
        <f>IF(OR(INDEX(IHZ_HAZ_AMOUNT,60,1)&lt;&gt;"",),IF(OR(INDEX(IHZ_HAZ_NETGROSS,60,1)="",INDEX(IHZ_HAZ_UNIT,60,1)="",),FALSE,TRUE),TRUE)</f>
        <v>1</v>
      </c>
      <c r="H1067" s="52" t="str">
        <f t="shared" si="33"/>
        <v>Row 60 - For ‘Transport unit’ if ‘Amount’ is given then ‘Gross / Net’ and ‘Amount unit’ are required</v>
      </c>
      <c r="I1067" s="236" t="s">
        <v>1853</v>
      </c>
      <c r="J1067" s="52" t="b">
        <f>IF(OR(INDEX(OHZ_HAZ_AMOUNT,60,1)&lt;&gt;"",),IF(OR(INDEX(OHZ_HAZ_NETGROSS,60,1)="",INDEX(OHZ_HAZ_UNIT,60,1)="",),FALSE,TRUE),TRUE)</f>
        <v>1</v>
      </c>
      <c r="K1067" s="52" t="str">
        <f t="shared" si="34"/>
        <v>Row 60 - For ‘Transport unit’ if ‘Amount’ is given then ‘Gross / Net’ and ‘Amount unit’ are required</v>
      </c>
      <c r="L1067" s="236" t="s">
        <v>1853</v>
      </c>
    </row>
    <row r="1068" spans="7:12">
      <c r="G1068" s="250" t="b">
        <f>IF(OR(INDEX(IHZ_HAZ_AMOUNT,61,1)&lt;&gt;"",),IF(OR(INDEX(IHZ_HAZ_NETGROSS,61,1)="",INDEX(IHZ_HAZ_UNIT,61,1)="",),FALSE,TRUE),TRUE)</f>
        <v>1</v>
      </c>
      <c r="H1068" s="52" t="str">
        <f t="shared" si="33"/>
        <v>Row 61 - For ‘Transport unit’ if ‘Amount’ is given then ‘Gross / Net’ and ‘Amount unit’ are required</v>
      </c>
      <c r="I1068" s="236" t="s">
        <v>1853</v>
      </c>
      <c r="J1068" s="52" t="b">
        <f>IF(OR(INDEX(OHZ_HAZ_AMOUNT,61,1)&lt;&gt;"",),IF(OR(INDEX(OHZ_HAZ_NETGROSS,61,1)="",INDEX(OHZ_HAZ_UNIT,61,1)="",),FALSE,TRUE),TRUE)</f>
        <v>1</v>
      </c>
      <c r="K1068" s="52" t="str">
        <f t="shared" si="34"/>
        <v>Row 61 - For ‘Transport unit’ if ‘Amount’ is given then ‘Gross / Net’ and ‘Amount unit’ are required</v>
      </c>
      <c r="L1068" s="236" t="s">
        <v>1853</v>
      </c>
    </row>
    <row r="1069" spans="7:12">
      <c r="G1069" s="250" t="b">
        <f>IF(OR(INDEX(IHZ_HAZ_AMOUNT,62,1)&lt;&gt;"",),IF(OR(INDEX(IHZ_HAZ_NETGROSS,62,1)="",INDEX(IHZ_HAZ_UNIT,62,1)="",),FALSE,TRUE),TRUE)</f>
        <v>1</v>
      </c>
      <c r="H1069" s="52" t="str">
        <f t="shared" si="33"/>
        <v>Row 62 - For ‘Transport unit’ if ‘Amount’ is given then ‘Gross / Net’ and ‘Amount unit’ are required</v>
      </c>
      <c r="I1069" s="236" t="s">
        <v>1853</v>
      </c>
      <c r="J1069" s="52" t="b">
        <f>IF(OR(INDEX(OHZ_HAZ_AMOUNT,62,1)&lt;&gt;"",),IF(OR(INDEX(OHZ_HAZ_NETGROSS,62,1)="",INDEX(OHZ_HAZ_UNIT,62,1)="",),FALSE,TRUE),TRUE)</f>
        <v>1</v>
      </c>
      <c r="K1069" s="52" t="str">
        <f t="shared" si="34"/>
        <v>Row 62 - For ‘Transport unit’ if ‘Amount’ is given then ‘Gross / Net’ and ‘Amount unit’ are required</v>
      </c>
      <c r="L1069" s="236" t="s">
        <v>1853</v>
      </c>
    </row>
    <row r="1070" spans="7:12">
      <c r="G1070" s="250" t="b">
        <f>IF(OR(INDEX(IHZ_HAZ_AMOUNT,63,1)&lt;&gt;"",),IF(OR(INDEX(IHZ_HAZ_NETGROSS,63,1)="",INDEX(IHZ_HAZ_UNIT,63,1)="",),FALSE,TRUE),TRUE)</f>
        <v>1</v>
      </c>
      <c r="H1070" s="52" t="str">
        <f t="shared" si="33"/>
        <v>Row 63 - For ‘Transport unit’ if ‘Amount’ is given then ‘Gross / Net’ and ‘Amount unit’ are required</v>
      </c>
      <c r="I1070" s="236" t="s">
        <v>1853</v>
      </c>
      <c r="J1070" s="52" t="b">
        <f>IF(OR(INDEX(OHZ_HAZ_AMOUNT,63,1)&lt;&gt;"",),IF(OR(INDEX(OHZ_HAZ_NETGROSS,63,1)="",INDEX(OHZ_HAZ_UNIT,63,1)="",),FALSE,TRUE),TRUE)</f>
        <v>1</v>
      </c>
      <c r="K1070" s="52" t="str">
        <f t="shared" si="34"/>
        <v>Row 63 - For ‘Transport unit’ if ‘Amount’ is given then ‘Gross / Net’ and ‘Amount unit’ are required</v>
      </c>
      <c r="L1070" s="236" t="s">
        <v>1853</v>
      </c>
    </row>
    <row r="1071" spans="7:12">
      <c r="G1071" s="250" t="b">
        <f>IF(OR(INDEX(IHZ_HAZ_AMOUNT,64,1)&lt;&gt;"",),IF(OR(INDEX(IHZ_HAZ_NETGROSS,64,1)="",INDEX(IHZ_HAZ_UNIT,64,1)="",),FALSE,TRUE),TRUE)</f>
        <v>1</v>
      </c>
      <c r="H1071" s="52" t="str">
        <f t="shared" si="33"/>
        <v>Row 64 - For ‘Transport unit’ if ‘Amount’ is given then ‘Gross / Net’ and ‘Amount unit’ are required</v>
      </c>
      <c r="I1071" s="236" t="s">
        <v>1853</v>
      </c>
      <c r="J1071" s="52" t="b">
        <f>IF(OR(INDEX(OHZ_HAZ_AMOUNT,64,1)&lt;&gt;"",),IF(OR(INDEX(OHZ_HAZ_NETGROSS,64,1)="",INDEX(OHZ_HAZ_UNIT,64,1)="",),FALSE,TRUE),TRUE)</f>
        <v>1</v>
      </c>
      <c r="K1071" s="52" t="str">
        <f t="shared" si="34"/>
        <v>Row 64 - For ‘Transport unit’ if ‘Amount’ is given then ‘Gross / Net’ and ‘Amount unit’ are required</v>
      </c>
      <c r="L1071" s="236" t="s">
        <v>1853</v>
      </c>
    </row>
    <row r="1072" spans="7:12">
      <c r="G1072" s="250" t="b">
        <f>IF(OR(INDEX(IHZ_HAZ_AMOUNT,65,1)&lt;&gt;"",),IF(OR(INDEX(IHZ_HAZ_NETGROSS,65,1)="",INDEX(IHZ_HAZ_UNIT,65,1)="",),FALSE,TRUE),TRUE)</f>
        <v>1</v>
      </c>
      <c r="H1072" s="52" t="str">
        <f t="shared" si="33"/>
        <v>Row 65 - For ‘Transport unit’ if ‘Amount’ is given then ‘Gross / Net’ and ‘Amount unit’ are required</v>
      </c>
      <c r="I1072" s="236" t="s">
        <v>1853</v>
      </c>
      <c r="J1072" s="52" t="b">
        <f>IF(OR(INDEX(OHZ_HAZ_AMOUNT,65,1)&lt;&gt;"",),IF(OR(INDEX(OHZ_HAZ_NETGROSS,65,1)="",INDEX(OHZ_HAZ_UNIT,65,1)="",),FALSE,TRUE),TRUE)</f>
        <v>1</v>
      </c>
      <c r="K1072" s="52" t="str">
        <f t="shared" si="34"/>
        <v>Row 65 - For ‘Transport unit’ if ‘Amount’ is given then ‘Gross / Net’ and ‘Amount unit’ are required</v>
      </c>
      <c r="L1072" s="236" t="s">
        <v>1853</v>
      </c>
    </row>
    <row r="1073" spans="7:12">
      <c r="G1073" s="250" t="b">
        <f>IF(OR(INDEX(IHZ_HAZ_AMOUNT,66,1)&lt;&gt;"",),IF(OR(INDEX(IHZ_HAZ_NETGROSS,66,1)="",INDEX(IHZ_HAZ_UNIT,66,1)="",),FALSE,TRUE),TRUE)</f>
        <v>1</v>
      </c>
      <c r="H1073" s="52" t="str">
        <f t="shared" ref="H1073:H1136" si="35">T66&amp;$V$5</f>
        <v>Row 66 - For ‘Transport unit’ if ‘Amount’ is given then ‘Gross / Net’ and ‘Amount unit’ are required</v>
      </c>
      <c r="I1073" s="236" t="s">
        <v>1853</v>
      </c>
      <c r="J1073" s="52" t="b">
        <f>IF(OR(INDEX(OHZ_HAZ_AMOUNT,66,1)&lt;&gt;"",),IF(OR(INDEX(OHZ_HAZ_NETGROSS,66,1)="",INDEX(OHZ_HAZ_UNIT,66,1)="",),FALSE,TRUE),TRUE)</f>
        <v>1</v>
      </c>
      <c r="K1073" s="52" t="str">
        <f t="shared" ref="K1073:K1136" si="36">T66&amp;$V$5</f>
        <v>Row 66 - For ‘Transport unit’ if ‘Amount’ is given then ‘Gross / Net’ and ‘Amount unit’ are required</v>
      </c>
      <c r="L1073" s="236" t="s">
        <v>1853</v>
      </c>
    </row>
    <row r="1074" spans="7:12">
      <c r="G1074" s="250" t="b">
        <f>IF(OR(INDEX(IHZ_HAZ_AMOUNT,67,1)&lt;&gt;"",),IF(OR(INDEX(IHZ_HAZ_NETGROSS,67,1)="",INDEX(IHZ_HAZ_UNIT,67,1)="",),FALSE,TRUE),TRUE)</f>
        <v>1</v>
      </c>
      <c r="H1074" s="52" t="str">
        <f t="shared" si="35"/>
        <v>Row 67 - For ‘Transport unit’ if ‘Amount’ is given then ‘Gross / Net’ and ‘Amount unit’ are required</v>
      </c>
      <c r="I1074" s="236" t="s">
        <v>1853</v>
      </c>
      <c r="J1074" s="52" t="b">
        <f>IF(OR(INDEX(OHZ_HAZ_AMOUNT,67,1)&lt;&gt;"",),IF(OR(INDEX(OHZ_HAZ_NETGROSS,67,1)="",INDEX(OHZ_HAZ_UNIT,67,1)="",),FALSE,TRUE),TRUE)</f>
        <v>1</v>
      </c>
      <c r="K1074" s="52" t="str">
        <f t="shared" si="36"/>
        <v>Row 67 - For ‘Transport unit’ if ‘Amount’ is given then ‘Gross / Net’ and ‘Amount unit’ are required</v>
      </c>
      <c r="L1074" s="236" t="s">
        <v>1853</v>
      </c>
    </row>
    <row r="1075" spans="7:12">
      <c r="G1075" s="250" t="b">
        <f>IF(OR(INDEX(IHZ_HAZ_AMOUNT,68,1)&lt;&gt;"",),IF(OR(INDEX(IHZ_HAZ_NETGROSS,68,1)="",INDEX(IHZ_HAZ_UNIT,68,1)="",),FALSE,TRUE),TRUE)</f>
        <v>1</v>
      </c>
      <c r="H1075" s="52" t="str">
        <f t="shared" si="35"/>
        <v>Row 68 - For ‘Transport unit’ if ‘Amount’ is given then ‘Gross / Net’ and ‘Amount unit’ are required</v>
      </c>
      <c r="I1075" s="236" t="s">
        <v>1853</v>
      </c>
      <c r="J1075" s="52" t="b">
        <f>IF(OR(INDEX(OHZ_HAZ_AMOUNT,68,1)&lt;&gt;"",),IF(OR(INDEX(OHZ_HAZ_NETGROSS,68,1)="",INDEX(OHZ_HAZ_UNIT,68,1)="",),FALSE,TRUE),TRUE)</f>
        <v>1</v>
      </c>
      <c r="K1075" s="52" t="str">
        <f t="shared" si="36"/>
        <v>Row 68 - For ‘Transport unit’ if ‘Amount’ is given then ‘Gross / Net’ and ‘Amount unit’ are required</v>
      </c>
      <c r="L1075" s="236" t="s">
        <v>1853</v>
      </c>
    </row>
    <row r="1076" spans="7:12">
      <c r="G1076" s="250" t="b">
        <f>IF(OR(INDEX(IHZ_HAZ_AMOUNT,69,1)&lt;&gt;"",),IF(OR(INDEX(IHZ_HAZ_NETGROSS,69,1)="",INDEX(IHZ_HAZ_UNIT,69,1)="",),FALSE,TRUE),TRUE)</f>
        <v>1</v>
      </c>
      <c r="H1076" s="52" t="str">
        <f t="shared" si="35"/>
        <v>Row 69 - For ‘Transport unit’ if ‘Amount’ is given then ‘Gross / Net’ and ‘Amount unit’ are required</v>
      </c>
      <c r="I1076" s="236" t="s">
        <v>1853</v>
      </c>
      <c r="J1076" s="52" t="b">
        <f>IF(OR(INDEX(OHZ_HAZ_AMOUNT,69,1)&lt;&gt;"",),IF(OR(INDEX(OHZ_HAZ_NETGROSS,69,1)="",INDEX(OHZ_HAZ_UNIT,69,1)="",),FALSE,TRUE),TRUE)</f>
        <v>1</v>
      </c>
      <c r="K1076" s="52" t="str">
        <f t="shared" si="36"/>
        <v>Row 69 - For ‘Transport unit’ if ‘Amount’ is given then ‘Gross / Net’ and ‘Amount unit’ are required</v>
      </c>
      <c r="L1076" s="236" t="s">
        <v>1853</v>
      </c>
    </row>
    <row r="1077" spans="7:12">
      <c r="G1077" s="250" t="b">
        <f>IF(OR(INDEX(IHZ_HAZ_AMOUNT,70,1)&lt;&gt;"",),IF(OR(INDEX(IHZ_HAZ_NETGROSS,70,1)="",INDEX(IHZ_HAZ_UNIT,70,1)="",),FALSE,TRUE),TRUE)</f>
        <v>1</v>
      </c>
      <c r="H1077" s="52" t="str">
        <f t="shared" si="35"/>
        <v>Row 70 - For ‘Transport unit’ if ‘Amount’ is given then ‘Gross / Net’ and ‘Amount unit’ are required</v>
      </c>
      <c r="I1077" s="236" t="s">
        <v>1853</v>
      </c>
      <c r="J1077" s="52" t="b">
        <f>IF(OR(INDEX(OHZ_HAZ_AMOUNT,70,1)&lt;&gt;"",),IF(OR(INDEX(OHZ_HAZ_NETGROSS,70,1)="",INDEX(OHZ_HAZ_UNIT,70,1)="",),FALSE,TRUE),TRUE)</f>
        <v>1</v>
      </c>
      <c r="K1077" s="52" t="str">
        <f t="shared" si="36"/>
        <v>Row 70 - For ‘Transport unit’ if ‘Amount’ is given then ‘Gross / Net’ and ‘Amount unit’ are required</v>
      </c>
      <c r="L1077" s="236" t="s">
        <v>1853</v>
      </c>
    </row>
    <row r="1078" spans="7:12">
      <c r="G1078" s="250" t="b">
        <f>IF(OR(INDEX(IHZ_HAZ_AMOUNT,71,1)&lt;&gt;"",),IF(OR(INDEX(IHZ_HAZ_NETGROSS,71,1)="",INDEX(IHZ_HAZ_UNIT,71,1)="",),FALSE,TRUE),TRUE)</f>
        <v>1</v>
      </c>
      <c r="H1078" s="52" t="str">
        <f t="shared" si="35"/>
        <v>Row 71 - For ‘Transport unit’ if ‘Amount’ is given then ‘Gross / Net’ and ‘Amount unit’ are required</v>
      </c>
      <c r="I1078" s="236" t="s">
        <v>1853</v>
      </c>
      <c r="J1078" s="52" t="b">
        <f>IF(OR(INDEX(OHZ_HAZ_AMOUNT,71,1)&lt;&gt;"",),IF(OR(INDEX(OHZ_HAZ_NETGROSS,71,1)="",INDEX(OHZ_HAZ_UNIT,71,1)="",),FALSE,TRUE),TRUE)</f>
        <v>1</v>
      </c>
      <c r="K1078" s="52" t="str">
        <f t="shared" si="36"/>
        <v>Row 71 - For ‘Transport unit’ if ‘Amount’ is given then ‘Gross / Net’ and ‘Amount unit’ are required</v>
      </c>
      <c r="L1078" s="236" t="s">
        <v>1853</v>
      </c>
    </row>
    <row r="1079" spans="7:12">
      <c r="G1079" s="250" t="b">
        <f>IF(OR(INDEX(IHZ_HAZ_AMOUNT,72,1)&lt;&gt;"",),IF(OR(INDEX(IHZ_HAZ_NETGROSS,72,1)="",INDEX(IHZ_HAZ_UNIT,72,1)="",),FALSE,TRUE),TRUE)</f>
        <v>1</v>
      </c>
      <c r="H1079" s="52" t="str">
        <f t="shared" si="35"/>
        <v>Row 72 - For ‘Transport unit’ if ‘Amount’ is given then ‘Gross / Net’ and ‘Amount unit’ are required</v>
      </c>
      <c r="I1079" s="236" t="s">
        <v>1853</v>
      </c>
      <c r="J1079" s="52" t="b">
        <f>IF(OR(INDEX(OHZ_HAZ_AMOUNT,72,1)&lt;&gt;"",),IF(OR(INDEX(OHZ_HAZ_NETGROSS,72,1)="",INDEX(OHZ_HAZ_UNIT,72,1)="",),FALSE,TRUE),TRUE)</f>
        <v>1</v>
      </c>
      <c r="K1079" s="52" t="str">
        <f t="shared" si="36"/>
        <v>Row 72 - For ‘Transport unit’ if ‘Amount’ is given then ‘Gross / Net’ and ‘Amount unit’ are required</v>
      </c>
      <c r="L1079" s="236" t="s">
        <v>1853</v>
      </c>
    </row>
    <row r="1080" spans="7:12">
      <c r="G1080" s="250" t="b">
        <f>IF(OR(INDEX(IHZ_HAZ_AMOUNT,73,1)&lt;&gt;"",),IF(OR(INDEX(IHZ_HAZ_NETGROSS,73,1)="",INDEX(IHZ_HAZ_UNIT,73,1)="",),FALSE,TRUE),TRUE)</f>
        <v>1</v>
      </c>
      <c r="H1080" s="52" t="str">
        <f t="shared" si="35"/>
        <v>Row 73 - For ‘Transport unit’ if ‘Amount’ is given then ‘Gross / Net’ and ‘Amount unit’ are required</v>
      </c>
      <c r="I1080" s="236" t="s">
        <v>1853</v>
      </c>
      <c r="J1080" s="52" t="b">
        <f>IF(OR(INDEX(OHZ_HAZ_AMOUNT,73,1)&lt;&gt;"",),IF(OR(INDEX(OHZ_HAZ_NETGROSS,73,1)="",INDEX(OHZ_HAZ_UNIT,73,1)="",),FALSE,TRUE),TRUE)</f>
        <v>1</v>
      </c>
      <c r="K1080" s="52" t="str">
        <f t="shared" si="36"/>
        <v>Row 73 - For ‘Transport unit’ if ‘Amount’ is given then ‘Gross / Net’ and ‘Amount unit’ are required</v>
      </c>
      <c r="L1080" s="236" t="s">
        <v>1853</v>
      </c>
    </row>
    <row r="1081" spans="7:12">
      <c r="G1081" s="250" t="b">
        <f>IF(OR(INDEX(IHZ_HAZ_AMOUNT,74,1)&lt;&gt;"",),IF(OR(INDEX(IHZ_HAZ_NETGROSS,74,1)="",INDEX(IHZ_HAZ_UNIT,74,1)="",),FALSE,TRUE),TRUE)</f>
        <v>1</v>
      </c>
      <c r="H1081" s="52" t="str">
        <f t="shared" si="35"/>
        <v>Row 74 - For ‘Transport unit’ if ‘Amount’ is given then ‘Gross / Net’ and ‘Amount unit’ are required</v>
      </c>
      <c r="I1081" s="236" t="s">
        <v>1853</v>
      </c>
      <c r="J1081" s="52" t="b">
        <f>IF(OR(INDEX(OHZ_HAZ_AMOUNT,74,1)&lt;&gt;"",),IF(OR(INDEX(OHZ_HAZ_NETGROSS,74,1)="",INDEX(OHZ_HAZ_UNIT,74,1)="",),FALSE,TRUE),TRUE)</f>
        <v>1</v>
      </c>
      <c r="K1081" s="52" t="str">
        <f t="shared" si="36"/>
        <v>Row 74 - For ‘Transport unit’ if ‘Amount’ is given then ‘Gross / Net’ and ‘Amount unit’ are required</v>
      </c>
      <c r="L1081" s="236" t="s">
        <v>1853</v>
      </c>
    </row>
    <row r="1082" spans="7:12">
      <c r="G1082" s="250" t="b">
        <f>IF(OR(INDEX(IHZ_HAZ_AMOUNT,75,1)&lt;&gt;"",),IF(OR(INDEX(IHZ_HAZ_NETGROSS,75,1)="",INDEX(IHZ_HAZ_UNIT,75,1)="",),FALSE,TRUE),TRUE)</f>
        <v>1</v>
      </c>
      <c r="H1082" s="52" t="str">
        <f t="shared" si="35"/>
        <v>Row 75 - For ‘Transport unit’ if ‘Amount’ is given then ‘Gross / Net’ and ‘Amount unit’ are required</v>
      </c>
      <c r="I1082" s="236" t="s">
        <v>1853</v>
      </c>
      <c r="J1082" s="52" t="b">
        <f>IF(OR(INDEX(OHZ_HAZ_AMOUNT,75,1)&lt;&gt;"",),IF(OR(INDEX(OHZ_HAZ_NETGROSS,75,1)="",INDEX(OHZ_HAZ_UNIT,75,1)="",),FALSE,TRUE),TRUE)</f>
        <v>1</v>
      </c>
      <c r="K1082" s="52" t="str">
        <f t="shared" si="36"/>
        <v>Row 75 - For ‘Transport unit’ if ‘Amount’ is given then ‘Gross / Net’ and ‘Amount unit’ are required</v>
      </c>
      <c r="L1082" s="236" t="s">
        <v>1853</v>
      </c>
    </row>
    <row r="1083" spans="7:12">
      <c r="G1083" s="250" t="b">
        <f>IF(OR(INDEX(IHZ_HAZ_AMOUNT,76,1)&lt;&gt;"",),IF(OR(INDEX(IHZ_HAZ_NETGROSS,76,1)="",INDEX(IHZ_HAZ_UNIT,76,1)="",),FALSE,TRUE),TRUE)</f>
        <v>1</v>
      </c>
      <c r="H1083" s="52" t="str">
        <f t="shared" si="35"/>
        <v>Row 76 - For ‘Transport unit’ if ‘Amount’ is given then ‘Gross / Net’ and ‘Amount unit’ are required</v>
      </c>
      <c r="I1083" s="236" t="s">
        <v>1853</v>
      </c>
      <c r="J1083" s="52" t="b">
        <f>IF(OR(INDEX(OHZ_HAZ_AMOUNT,76,1)&lt;&gt;"",),IF(OR(INDEX(OHZ_HAZ_NETGROSS,76,1)="",INDEX(OHZ_HAZ_UNIT,76,1)="",),FALSE,TRUE),TRUE)</f>
        <v>1</v>
      </c>
      <c r="K1083" s="52" t="str">
        <f t="shared" si="36"/>
        <v>Row 76 - For ‘Transport unit’ if ‘Amount’ is given then ‘Gross / Net’ and ‘Amount unit’ are required</v>
      </c>
      <c r="L1083" s="236" t="s">
        <v>1853</v>
      </c>
    </row>
    <row r="1084" spans="7:12">
      <c r="G1084" s="250" t="b">
        <f>IF(OR(INDEX(IHZ_HAZ_AMOUNT,77,1)&lt;&gt;"",),IF(OR(INDEX(IHZ_HAZ_NETGROSS,77,1)="",INDEX(IHZ_HAZ_UNIT,77,1)="",),FALSE,TRUE),TRUE)</f>
        <v>1</v>
      </c>
      <c r="H1084" s="52" t="str">
        <f t="shared" si="35"/>
        <v>Row 77 - For ‘Transport unit’ if ‘Amount’ is given then ‘Gross / Net’ and ‘Amount unit’ are required</v>
      </c>
      <c r="I1084" s="236" t="s">
        <v>1853</v>
      </c>
      <c r="J1084" s="52" t="b">
        <f>IF(OR(INDEX(OHZ_HAZ_AMOUNT,77,1)&lt;&gt;"",),IF(OR(INDEX(OHZ_HAZ_NETGROSS,77,1)="",INDEX(OHZ_HAZ_UNIT,77,1)="",),FALSE,TRUE),TRUE)</f>
        <v>1</v>
      </c>
      <c r="K1084" s="52" t="str">
        <f t="shared" si="36"/>
        <v>Row 77 - For ‘Transport unit’ if ‘Amount’ is given then ‘Gross / Net’ and ‘Amount unit’ are required</v>
      </c>
      <c r="L1084" s="236" t="s">
        <v>1853</v>
      </c>
    </row>
    <row r="1085" spans="7:12">
      <c r="G1085" s="250" t="b">
        <f>IF(OR(INDEX(IHZ_HAZ_AMOUNT,78,1)&lt;&gt;"",),IF(OR(INDEX(IHZ_HAZ_NETGROSS,78,1)="",INDEX(IHZ_HAZ_UNIT,78,1)="",),FALSE,TRUE),TRUE)</f>
        <v>1</v>
      </c>
      <c r="H1085" s="52" t="str">
        <f t="shared" si="35"/>
        <v>Row 78 - For ‘Transport unit’ if ‘Amount’ is given then ‘Gross / Net’ and ‘Amount unit’ are required</v>
      </c>
      <c r="I1085" s="236" t="s">
        <v>1853</v>
      </c>
      <c r="J1085" s="52" t="b">
        <f>IF(OR(INDEX(OHZ_HAZ_AMOUNT,78,1)&lt;&gt;"",),IF(OR(INDEX(OHZ_HAZ_NETGROSS,78,1)="",INDEX(OHZ_HAZ_UNIT,78,1)="",),FALSE,TRUE),TRUE)</f>
        <v>1</v>
      </c>
      <c r="K1085" s="52" t="str">
        <f t="shared" si="36"/>
        <v>Row 78 - For ‘Transport unit’ if ‘Amount’ is given then ‘Gross / Net’ and ‘Amount unit’ are required</v>
      </c>
      <c r="L1085" s="236" t="s">
        <v>1853</v>
      </c>
    </row>
    <row r="1086" spans="7:12">
      <c r="G1086" s="250" t="b">
        <f>IF(OR(INDEX(IHZ_HAZ_AMOUNT,79,1)&lt;&gt;"",),IF(OR(INDEX(IHZ_HAZ_NETGROSS,79,1)="",INDEX(IHZ_HAZ_UNIT,79,1)="",),FALSE,TRUE),TRUE)</f>
        <v>1</v>
      </c>
      <c r="H1086" s="52" t="str">
        <f t="shared" si="35"/>
        <v>Row 79 - For ‘Transport unit’ if ‘Amount’ is given then ‘Gross / Net’ and ‘Amount unit’ are required</v>
      </c>
      <c r="I1086" s="236" t="s">
        <v>1853</v>
      </c>
      <c r="J1086" s="52" t="b">
        <f>IF(OR(INDEX(OHZ_HAZ_AMOUNT,79,1)&lt;&gt;"",),IF(OR(INDEX(OHZ_HAZ_NETGROSS,79,1)="",INDEX(OHZ_HAZ_UNIT,79,1)="",),FALSE,TRUE),TRUE)</f>
        <v>1</v>
      </c>
      <c r="K1086" s="52" t="str">
        <f t="shared" si="36"/>
        <v>Row 79 - For ‘Transport unit’ if ‘Amount’ is given then ‘Gross / Net’ and ‘Amount unit’ are required</v>
      </c>
      <c r="L1086" s="236" t="s">
        <v>1853</v>
      </c>
    </row>
    <row r="1087" spans="7:12">
      <c r="G1087" s="250" t="b">
        <f>IF(OR(INDEX(IHZ_HAZ_AMOUNT,80,1)&lt;&gt;"",),IF(OR(INDEX(IHZ_HAZ_NETGROSS,80,1)="",INDEX(IHZ_HAZ_UNIT,80,1)="",),FALSE,TRUE),TRUE)</f>
        <v>1</v>
      </c>
      <c r="H1087" s="52" t="str">
        <f t="shared" si="35"/>
        <v>Row 80 - For ‘Transport unit’ if ‘Amount’ is given then ‘Gross / Net’ and ‘Amount unit’ are required</v>
      </c>
      <c r="I1087" s="236" t="s">
        <v>1853</v>
      </c>
      <c r="J1087" s="52" t="b">
        <f>IF(OR(INDEX(OHZ_HAZ_AMOUNT,80,1)&lt;&gt;"",),IF(OR(INDEX(OHZ_HAZ_NETGROSS,80,1)="",INDEX(OHZ_HAZ_UNIT,80,1)="",),FALSE,TRUE),TRUE)</f>
        <v>1</v>
      </c>
      <c r="K1087" s="52" t="str">
        <f t="shared" si="36"/>
        <v>Row 80 - For ‘Transport unit’ if ‘Amount’ is given then ‘Gross / Net’ and ‘Amount unit’ are required</v>
      </c>
      <c r="L1087" s="236" t="s">
        <v>1853</v>
      </c>
    </row>
    <row r="1088" spans="7:12">
      <c r="G1088" s="250" t="b">
        <f>IF(OR(INDEX(IHZ_HAZ_AMOUNT,81,1)&lt;&gt;"",),IF(OR(INDEX(IHZ_HAZ_NETGROSS,81,1)="",INDEX(IHZ_HAZ_UNIT,81,1)="",),FALSE,TRUE),TRUE)</f>
        <v>1</v>
      </c>
      <c r="H1088" s="52" t="str">
        <f t="shared" si="35"/>
        <v>Row 81 - For ‘Transport unit’ if ‘Amount’ is given then ‘Gross / Net’ and ‘Amount unit’ are required</v>
      </c>
      <c r="I1088" s="236" t="s">
        <v>1853</v>
      </c>
      <c r="J1088" s="52" t="b">
        <f>IF(OR(INDEX(OHZ_HAZ_AMOUNT,81,1)&lt;&gt;"",),IF(OR(INDEX(OHZ_HAZ_NETGROSS,81,1)="",INDEX(OHZ_HAZ_UNIT,81,1)="",),FALSE,TRUE),TRUE)</f>
        <v>1</v>
      </c>
      <c r="K1088" s="52" t="str">
        <f t="shared" si="36"/>
        <v>Row 81 - For ‘Transport unit’ if ‘Amount’ is given then ‘Gross / Net’ and ‘Amount unit’ are required</v>
      </c>
      <c r="L1088" s="236" t="s">
        <v>1853</v>
      </c>
    </row>
    <row r="1089" spans="7:12">
      <c r="G1089" s="250" t="b">
        <f>IF(OR(INDEX(IHZ_HAZ_AMOUNT,82,1)&lt;&gt;"",),IF(OR(INDEX(IHZ_HAZ_NETGROSS,82,1)="",INDEX(IHZ_HAZ_UNIT,82,1)="",),FALSE,TRUE),TRUE)</f>
        <v>1</v>
      </c>
      <c r="H1089" s="52" t="str">
        <f t="shared" si="35"/>
        <v>Row 82 - For ‘Transport unit’ if ‘Amount’ is given then ‘Gross / Net’ and ‘Amount unit’ are required</v>
      </c>
      <c r="I1089" s="236" t="s">
        <v>1853</v>
      </c>
      <c r="J1089" s="52" t="b">
        <f>IF(OR(INDEX(OHZ_HAZ_AMOUNT,82,1)&lt;&gt;"",),IF(OR(INDEX(OHZ_HAZ_NETGROSS,82,1)="",INDEX(OHZ_HAZ_UNIT,82,1)="",),FALSE,TRUE),TRUE)</f>
        <v>1</v>
      </c>
      <c r="K1089" s="52" t="str">
        <f t="shared" si="36"/>
        <v>Row 82 - For ‘Transport unit’ if ‘Amount’ is given then ‘Gross / Net’ and ‘Amount unit’ are required</v>
      </c>
      <c r="L1089" s="236" t="s">
        <v>1853</v>
      </c>
    </row>
    <row r="1090" spans="7:12">
      <c r="G1090" s="250" t="b">
        <f>IF(OR(INDEX(IHZ_HAZ_AMOUNT,83,1)&lt;&gt;"",),IF(OR(INDEX(IHZ_HAZ_NETGROSS,83,1)="",INDEX(IHZ_HAZ_UNIT,83,1)="",),FALSE,TRUE),TRUE)</f>
        <v>1</v>
      </c>
      <c r="H1090" s="52" t="str">
        <f t="shared" si="35"/>
        <v>Row 83 - For ‘Transport unit’ if ‘Amount’ is given then ‘Gross / Net’ and ‘Amount unit’ are required</v>
      </c>
      <c r="I1090" s="236" t="s">
        <v>1853</v>
      </c>
      <c r="J1090" s="52" t="b">
        <f>IF(OR(INDEX(OHZ_HAZ_AMOUNT,83,1)&lt;&gt;"",),IF(OR(INDEX(OHZ_HAZ_NETGROSS,83,1)="",INDEX(OHZ_HAZ_UNIT,83,1)="",),FALSE,TRUE),TRUE)</f>
        <v>1</v>
      </c>
      <c r="K1090" s="52" t="str">
        <f t="shared" si="36"/>
        <v>Row 83 - For ‘Transport unit’ if ‘Amount’ is given then ‘Gross / Net’ and ‘Amount unit’ are required</v>
      </c>
      <c r="L1090" s="236" t="s">
        <v>1853</v>
      </c>
    </row>
    <row r="1091" spans="7:12">
      <c r="G1091" s="250" t="b">
        <f>IF(OR(INDEX(IHZ_HAZ_AMOUNT,84,1)&lt;&gt;"",),IF(OR(INDEX(IHZ_HAZ_NETGROSS,84,1)="",INDEX(IHZ_HAZ_UNIT,84,1)="",),FALSE,TRUE),TRUE)</f>
        <v>1</v>
      </c>
      <c r="H1091" s="52" t="str">
        <f t="shared" si="35"/>
        <v>Row 84 - For ‘Transport unit’ if ‘Amount’ is given then ‘Gross / Net’ and ‘Amount unit’ are required</v>
      </c>
      <c r="I1091" s="236" t="s">
        <v>1853</v>
      </c>
      <c r="J1091" s="52" t="b">
        <f>IF(OR(INDEX(OHZ_HAZ_AMOUNT,84,1)&lt;&gt;"",),IF(OR(INDEX(OHZ_HAZ_NETGROSS,84,1)="",INDEX(OHZ_HAZ_UNIT,84,1)="",),FALSE,TRUE),TRUE)</f>
        <v>1</v>
      </c>
      <c r="K1091" s="52" t="str">
        <f t="shared" si="36"/>
        <v>Row 84 - For ‘Transport unit’ if ‘Amount’ is given then ‘Gross / Net’ and ‘Amount unit’ are required</v>
      </c>
      <c r="L1091" s="236" t="s">
        <v>1853</v>
      </c>
    </row>
    <row r="1092" spans="7:12">
      <c r="G1092" s="250" t="b">
        <f>IF(OR(INDEX(IHZ_HAZ_AMOUNT,85,1)&lt;&gt;"",),IF(OR(INDEX(IHZ_HAZ_NETGROSS,85,1)="",INDEX(IHZ_HAZ_UNIT,85,1)="",),FALSE,TRUE),TRUE)</f>
        <v>1</v>
      </c>
      <c r="H1092" s="52" t="str">
        <f t="shared" si="35"/>
        <v>Row 85 - For ‘Transport unit’ if ‘Amount’ is given then ‘Gross / Net’ and ‘Amount unit’ are required</v>
      </c>
      <c r="I1092" s="236" t="s">
        <v>1853</v>
      </c>
      <c r="J1092" s="52" t="b">
        <f>IF(OR(INDEX(OHZ_HAZ_AMOUNT,85,1)&lt;&gt;"",),IF(OR(INDEX(OHZ_HAZ_NETGROSS,85,1)="",INDEX(OHZ_HAZ_UNIT,85,1)="",),FALSE,TRUE),TRUE)</f>
        <v>1</v>
      </c>
      <c r="K1092" s="52" t="str">
        <f t="shared" si="36"/>
        <v>Row 85 - For ‘Transport unit’ if ‘Amount’ is given then ‘Gross / Net’ and ‘Amount unit’ are required</v>
      </c>
      <c r="L1092" s="236" t="s">
        <v>1853</v>
      </c>
    </row>
    <row r="1093" spans="7:12">
      <c r="G1093" s="250" t="b">
        <f>IF(OR(INDEX(IHZ_HAZ_AMOUNT,86,1)&lt;&gt;"",),IF(OR(INDEX(IHZ_HAZ_NETGROSS,86,1)="",INDEX(IHZ_HAZ_UNIT,86,1)="",),FALSE,TRUE),TRUE)</f>
        <v>1</v>
      </c>
      <c r="H1093" s="52" t="str">
        <f t="shared" si="35"/>
        <v>Row 86 - For ‘Transport unit’ if ‘Amount’ is given then ‘Gross / Net’ and ‘Amount unit’ are required</v>
      </c>
      <c r="I1093" s="236" t="s">
        <v>1853</v>
      </c>
      <c r="J1093" s="52" t="b">
        <f>IF(OR(INDEX(OHZ_HAZ_AMOUNT,86,1)&lt;&gt;"",),IF(OR(INDEX(OHZ_HAZ_NETGROSS,86,1)="",INDEX(OHZ_HAZ_UNIT,86,1)="",),FALSE,TRUE),TRUE)</f>
        <v>1</v>
      </c>
      <c r="K1093" s="52" t="str">
        <f t="shared" si="36"/>
        <v>Row 86 - For ‘Transport unit’ if ‘Amount’ is given then ‘Gross / Net’ and ‘Amount unit’ are required</v>
      </c>
      <c r="L1093" s="236" t="s">
        <v>1853</v>
      </c>
    </row>
    <row r="1094" spans="7:12">
      <c r="G1094" s="250" t="b">
        <f>IF(OR(INDEX(IHZ_HAZ_AMOUNT,87,1)&lt;&gt;"",),IF(OR(INDEX(IHZ_HAZ_NETGROSS,87,1)="",INDEX(IHZ_HAZ_UNIT,87,1)="",),FALSE,TRUE),TRUE)</f>
        <v>1</v>
      </c>
      <c r="H1094" s="52" t="str">
        <f t="shared" si="35"/>
        <v>Row 87 - For ‘Transport unit’ if ‘Amount’ is given then ‘Gross / Net’ and ‘Amount unit’ are required</v>
      </c>
      <c r="I1094" s="236" t="s">
        <v>1853</v>
      </c>
      <c r="J1094" s="52" t="b">
        <f>IF(OR(INDEX(OHZ_HAZ_AMOUNT,87,1)&lt;&gt;"",),IF(OR(INDEX(OHZ_HAZ_NETGROSS,87,1)="",INDEX(OHZ_HAZ_UNIT,87,1)="",),FALSE,TRUE),TRUE)</f>
        <v>1</v>
      </c>
      <c r="K1094" s="52" t="str">
        <f t="shared" si="36"/>
        <v>Row 87 - For ‘Transport unit’ if ‘Amount’ is given then ‘Gross / Net’ and ‘Amount unit’ are required</v>
      </c>
      <c r="L1094" s="236" t="s">
        <v>1853</v>
      </c>
    </row>
    <row r="1095" spans="7:12">
      <c r="G1095" s="250" t="b">
        <f>IF(OR(INDEX(IHZ_HAZ_AMOUNT,88,1)&lt;&gt;"",),IF(OR(INDEX(IHZ_HAZ_NETGROSS,88,1)="",INDEX(IHZ_HAZ_UNIT,88,1)="",),FALSE,TRUE),TRUE)</f>
        <v>1</v>
      </c>
      <c r="H1095" s="52" t="str">
        <f t="shared" si="35"/>
        <v>Row 88 - For ‘Transport unit’ if ‘Amount’ is given then ‘Gross / Net’ and ‘Amount unit’ are required</v>
      </c>
      <c r="I1095" s="236" t="s">
        <v>1853</v>
      </c>
      <c r="J1095" s="52" t="b">
        <f>IF(OR(INDEX(OHZ_HAZ_AMOUNT,88,1)&lt;&gt;"",),IF(OR(INDEX(OHZ_HAZ_NETGROSS,88,1)="",INDEX(OHZ_HAZ_UNIT,88,1)="",),FALSE,TRUE),TRUE)</f>
        <v>1</v>
      </c>
      <c r="K1095" s="52" t="str">
        <f t="shared" si="36"/>
        <v>Row 88 - For ‘Transport unit’ if ‘Amount’ is given then ‘Gross / Net’ and ‘Amount unit’ are required</v>
      </c>
      <c r="L1095" s="236" t="s">
        <v>1853</v>
      </c>
    </row>
    <row r="1096" spans="7:12">
      <c r="G1096" s="250" t="b">
        <f>IF(OR(INDEX(IHZ_HAZ_AMOUNT,89,1)&lt;&gt;"",),IF(OR(INDEX(IHZ_HAZ_NETGROSS,89,1)="",INDEX(IHZ_HAZ_UNIT,89,1)="",),FALSE,TRUE),TRUE)</f>
        <v>1</v>
      </c>
      <c r="H1096" s="52" t="str">
        <f t="shared" si="35"/>
        <v>Row 89 - For ‘Transport unit’ if ‘Amount’ is given then ‘Gross / Net’ and ‘Amount unit’ are required</v>
      </c>
      <c r="I1096" s="236" t="s">
        <v>1853</v>
      </c>
      <c r="J1096" s="52" t="b">
        <f>IF(OR(INDEX(OHZ_HAZ_AMOUNT,89,1)&lt;&gt;"",),IF(OR(INDEX(OHZ_HAZ_NETGROSS,89,1)="",INDEX(OHZ_HAZ_UNIT,89,1)="",),FALSE,TRUE),TRUE)</f>
        <v>1</v>
      </c>
      <c r="K1096" s="52" t="str">
        <f t="shared" si="36"/>
        <v>Row 89 - For ‘Transport unit’ if ‘Amount’ is given then ‘Gross / Net’ and ‘Amount unit’ are required</v>
      </c>
      <c r="L1096" s="236" t="s">
        <v>1853</v>
      </c>
    </row>
    <row r="1097" spans="7:12">
      <c r="G1097" s="250" t="b">
        <f>IF(OR(INDEX(IHZ_HAZ_AMOUNT,90,1)&lt;&gt;"",),IF(OR(INDEX(IHZ_HAZ_NETGROSS,90,1)="",INDEX(IHZ_HAZ_UNIT,90,1)="",),FALSE,TRUE),TRUE)</f>
        <v>1</v>
      </c>
      <c r="H1097" s="52" t="str">
        <f t="shared" si="35"/>
        <v>Row 90 - For ‘Transport unit’ if ‘Amount’ is given then ‘Gross / Net’ and ‘Amount unit’ are required</v>
      </c>
      <c r="I1097" s="236" t="s">
        <v>1853</v>
      </c>
      <c r="J1097" s="52" t="b">
        <f>IF(OR(INDEX(OHZ_HAZ_AMOUNT,90,1)&lt;&gt;"",),IF(OR(INDEX(OHZ_HAZ_NETGROSS,90,1)="",INDEX(OHZ_HAZ_UNIT,90,1)="",),FALSE,TRUE),TRUE)</f>
        <v>1</v>
      </c>
      <c r="K1097" s="52" t="str">
        <f t="shared" si="36"/>
        <v>Row 90 - For ‘Transport unit’ if ‘Amount’ is given then ‘Gross / Net’ and ‘Amount unit’ are required</v>
      </c>
      <c r="L1097" s="236" t="s">
        <v>1853</v>
      </c>
    </row>
    <row r="1098" spans="7:12">
      <c r="G1098" s="250" t="b">
        <f>IF(OR(INDEX(IHZ_HAZ_AMOUNT,91,1)&lt;&gt;"",),IF(OR(INDEX(IHZ_HAZ_NETGROSS,91,1)="",INDEX(IHZ_HAZ_UNIT,91,1)="",),FALSE,TRUE),TRUE)</f>
        <v>1</v>
      </c>
      <c r="H1098" s="52" t="str">
        <f t="shared" si="35"/>
        <v>Row 91 - For ‘Transport unit’ if ‘Amount’ is given then ‘Gross / Net’ and ‘Amount unit’ are required</v>
      </c>
      <c r="I1098" s="236" t="s">
        <v>1853</v>
      </c>
      <c r="J1098" s="52" t="b">
        <f>IF(OR(INDEX(OHZ_HAZ_AMOUNT,91,1)&lt;&gt;"",),IF(OR(INDEX(OHZ_HAZ_NETGROSS,91,1)="",INDEX(OHZ_HAZ_UNIT,91,1)="",),FALSE,TRUE),TRUE)</f>
        <v>1</v>
      </c>
      <c r="K1098" s="52" t="str">
        <f t="shared" si="36"/>
        <v>Row 91 - For ‘Transport unit’ if ‘Amount’ is given then ‘Gross / Net’ and ‘Amount unit’ are required</v>
      </c>
      <c r="L1098" s="236" t="s">
        <v>1853</v>
      </c>
    </row>
    <row r="1099" spans="7:12">
      <c r="G1099" s="250" t="b">
        <f>IF(OR(INDEX(IHZ_HAZ_AMOUNT,92,1)&lt;&gt;"",),IF(OR(INDEX(IHZ_HAZ_NETGROSS,92,1)="",INDEX(IHZ_HAZ_UNIT,92,1)="",),FALSE,TRUE),TRUE)</f>
        <v>1</v>
      </c>
      <c r="H1099" s="52" t="str">
        <f t="shared" si="35"/>
        <v>Row 92 - For ‘Transport unit’ if ‘Amount’ is given then ‘Gross / Net’ and ‘Amount unit’ are required</v>
      </c>
      <c r="I1099" s="236" t="s">
        <v>1853</v>
      </c>
      <c r="J1099" s="52" t="b">
        <f>IF(OR(INDEX(OHZ_HAZ_AMOUNT,92,1)&lt;&gt;"",),IF(OR(INDEX(OHZ_HAZ_NETGROSS,92,1)="",INDEX(OHZ_HAZ_UNIT,92,1)="",),FALSE,TRUE),TRUE)</f>
        <v>1</v>
      </c>
      <c r="K1099" s="52" t="str">
        <f t="shared" si="36"/>
        <v>Row 92 - For ‘Transport unit’ if ‘Amount’ is given then ‘Gross / Net’ and ‘Amount unit’ are required</v>
      </c>
      <c r="L1099" s="236" t="s">
        <v>1853</v>
      </c>
    </row>
    <row r="1100" spans="7:12">
      <c r="G1100" s="250" t="b">
        <f>IF(OR(INDEX(IHZ_HAZ_AMOUNT,93,1)&lt;&gt;"",),IF(OR(INDEX(IHZ_HAZ_NETGROSS,93,1)="",INDEX(IHZ_HAZ_UNIT,93,1)="",),FALSE,TRUE),TRUE)</f>
        <v>1</v>
      </c>
      <c r="H1100" s="52" t="str">
        <f t="shared" si="35"/>
        <v>Row 93 - For ‘Transport unit’ if ‘Amount’ is given then ‘Gross / Net’ and ‘Amount unit’ are required</v>
      </c>
      <c r="I1100" s="236" t="s">
        <v>1853</v>
      </c>
      <c r="J1100" s="52" t="b">
        <f>IF(OR(INDEX(OHZ_HAZ_AMOUNT,93,1)&lt;&gt;"",),IF(OR(INDEX(OHZ_HAZ_NETGROSS,93,1)="",INDEX(OHZ_HAZ_UNIT,93,1)="",),FALSE,TRUE),TRUE)</f>
        <v>1</v>
      </c>
      <c r="K1100" s="52" t="str">
        <f t="shared" si="36"/>
        <v>Row 93 - For ‘Transport unit’ if ‘Amount’ is given then ‘Gross / Net’ and ‘Amount unit’ are required</v>
      </c>
      <c r="L1100" s="236" t="s">
        <v>1853</v>
      </c>
    </row>
    <row r="1101" spans="7:12">
      <c r="G1101" s="250" t="b">
        <f>IF(OR(INDEX(IHZ_HAZ_AMOUNT,94,1)&lt;&gt;"",),IF(OR(INDEX(IHZ_HAZ_NETGROSS,94,1)="",INDEX(IHZ_HAZ_UNIT,94,1)="",),FALSE,TRUE),TRUE)</f>
        <v>1</v>
      </c>
      <c r="H1101" s="52" t="str">
        <f t="shared" si="35"/>
        <v>Row 94 - For ‘Transport unit’ if ‘Amount’ is given then ‘Gross / Net’ and ‘Amount unit’ are required</v>
      </c>
      <c r="I1101" s="236" t="s">
        <v>1853</v>
      </c>
      <c r="J1101" s="52" t="b">
        <f>IF(OR(INDEX(OHZ_HAZ_AMOUNT,94,1)&lt;&gt;"",),IF(OR(INDEX(OHZ_HAZ_NETGROSS,94,1)="",INDEX(OHZ_HAZ_UNIT,94,1)="",),FALSE,TRUE),TRUE)</f>
        <v>1</v>
      </c>
      <c r="K1101" s="52" t="str">
        <f t="shared" si="36"/>
        <v>Row 94 - For ‘Transport unit’ if ‘Amount’ is given then ‘Gross / Net’ and ‘Amount unit’ are required</v>
      </c>
      <c r="L1101" s="236" t="s">
        <v>1853</v>
      </c>
    </row>
    <row r="1102" spans="7:12">
      <c r="G1102" s="250" t="b">
        <f>IF(OR(INDEX(IHZ_HAZ_AMOUNT,95,1)&lt;&gt;"",),IF(OR(INDEX(IHZ_HAZ_NETGROSS,95,1)="",INDEX(IHZ_HAZ_UNIT,95,1)="",),FALSE,TRUE),TRUE)</f>
        <v>1</v>
      </c>
      <c r="H1102" s="52" t="str">
        <f t="shared" si="35"/>
        <v>Row 95 - For ‘Transport unit’ if ‘Amount’ is given then ‘Gross / Net’ and ‘Amount unit’ are required</v>
      </c>
      <c r="I1102" s="236" t="s">
        <v>1853</v>
      </c>
      <c r="J1102" s="52" t="b">
        <f>IF(OR(INDEX(OHZ_HAZ_AMOUNT,95,1)&lt;&gt;"",),IF(OR(INDEX(OHZ_HAZ_NETGROSS,95,1)="",INDEX(OHZ_HAZ_UNIT,95,1)="",),FALSE,TRUE),TRUE)</f>
        <v>1</v>
      </c>
      <c r="K1102" s="52" t="str">
        <f t="shared" si="36"/>
        <v>Row 95 - For ‘Transport unit’ if ‘Amount’ is given then ‘Gross / Net’ and ‘Amount unit’ are required</v>
      </c>
      <c r="L1102" s="236" t="s">
        <v>1853</v>
      </c>
    </row>
    <row r="1103" spans="7:12">
      <c r="G1103" s="250" t="b">
        <f>IF(OR(INDEX(IHZ_HAZ_AMOUNT,96,1)&lt;&gt;"",),IF(OR(INDEX(IHZ_HAZ_NETGROSS,96,1)="",INDEX(IHZ_HAZ_UNIT,96,1)="",),FALSE,TRUE),TRUE)</f>
        <v>1</v>
      </c>
      <c r="H1103" s="52" t="str">
        <f t="shared" si="35"/>
        <v>Row 96 - For ‘Transport unit’ if ‘Amount’ is given then ‘Gross / Net’ and ‘Amount unit’ are required</v>
      </c>
      <c r="I1103" s="236" t="s">
        <v>1853</v>
      </c>
      <c r="J1103" s="52" t="b">
        <f>IF(OR(INDEX(OHZ_HAZ_AMOUNT,96,1)&lt;&gt;"",),IF(OR(INDEX(OHZ_HAZ_NETGROSS,96,1)="",INDEX(OHZ_HAZ_UNIT,96,1)="",),FALSE,TRUE),TRUE)</f>
        <v>1</v>
      </c>
      <c r="K1103" s="52" t="str">
        <f t="shared" si="36"/>
        <v>Row 96 - For ‘Transport unit’ if ‘Amount’ is given then ‘Gross / Net’ and ‘Amount unit’ are required</v>
      </c>
      <c r="L1103" s="236" t="s">
        <v>1853</v>
      </c>
    </row>
    <row r="1104" spans="7:12">
      <c r="G1104" s="250" t="b">
        <f>IF(OR(INDEX(IHZ_HAZ_AMOUNT,97,1)&lt;&gt;"",),IF(OR(INDEX(IHZ_HAZ_NETGROSS,97,1)="",INDEX(IHZ_HAZ_UNIT,97,1)="",),FALSE,TRUE),TRUE)</f>
        <v>1</v>
      </c>
      <c r="H1104" s="52" t="str">
        <f t="shared" si="35"/>
        <v>Row 97 - For ‘Transport unit’ if ‘Amount’ is given then ‘Gross / Net’ and ‘Amount unit’ are required</v>
      </c>
      <c r="I1104" s="236" t="s">
        <v>1853</v>
      </c>
      <c r="J1104" s="52" t="b">
        <f>IF(OR(INDEX(OHZ_HAZ_AMOUNT,97,1)&lt;&gt;"",),IF(OR(INDEX(OHZ_HAZ_NETGROSS,97,1)="",INDEX(OHZ_HAZ_UNIT,97,1)="",),FALSE,TRUE),TRUE)</f>
        <v>1</v>
      </c>
      <c r="K1104" s="52" t="str">
        <f t="shared" si="36"/>
        <v>Row 97 - For ‘Transport unit’ if ‘Amount’ is given then ‘Gross / Net’ and ‘Amount unit’ are required</v>
      </c>
      <c r="L1104" s="236" t="s">
        <v>1853</v>
      </c>
    </row>
    <row r="1105" spans="7:12">
      <c r="G1105" s="250" t="b">
        <f>IF(OR(INDEX(IHZ_HAZ_AMOUNT,98,1)&lt;&gt;"",),IF(OR(INDEX(IHZ_HAZ_NETGROSS,98,1)="",INDEX(IHZ_HAZ_UNIT,98,1)="",),FALSE,TRUE),TRUE)</f>
        <v>1</v>
      </c>
      <c r="H1105" s="52" t="str">
        <f t="shared" si="35"/>
        <v>Row 98 - For ‘Transport unit’ if ‘Amount’ is given then ‘Gross / Net’ and ‘Amount unit’ are required</v>
      </c>
      <c r="I1105" s="236" t="s">
        <v>1853</v>
      </c>
      <c r="J1105" s="52" t="b">
        <f>IF(OR(INDEX(OHZ_HAZ_AMOUNT,98,1)&lt;&gt;"",),IF(OR(INDEX(OHZ_HAZ_NETGROSS,98,1)="",INDEX(OHZ_HAZ_UNIT,98,1)="",),FALSE,TRUE),TRUE)</f>
        <v>1</v>
      </c>
      <c r="K1105" s="52" t="str">
        <f t="shared" si="36"/>
        <v>Row 98 - For ‘Transport unit’ if ‘Amount’ is given then ‘Gross / Net’ and ‘Amount unit’ are required</v>
      </c>
      <c r="L1105" s="236" t="s">
        <v>1853</v>
      </c>
    </row>
    <row r="1106" spans="7:12">
      <c r="G1106" s="250" t="b">
        <f>IF(OR(INDEX(IHZ_HAZ_AMOUNT,99,1)&lt;&gt;"",),IF(OR(INDEX(IHZ_HAZ_NETGROSS,99,1)="",INDEX(IHZ_HAZ_UNIT,99,1)="",),FALSE,TRUE),TRUE)</f>
        <v>1</v>
      </c>
      <c r="H1106" s="52" t="str">
        <f t="shared" si="35"/>
        <v>Row 99 - For ‘Transport unit’ if ‘Amount’ is given then ‘Gross / Net’ and ‘Amount unit’ are required</v>
      </c>
      <c r="I1106" s="236" t="s">
        <v>1853</v>
      </c>
      <c r="J1106" s="52" t="b">
        <f>IF(OR(INDEX(OHZ_HAZ_AMOUNT,99,1)&lt;&gt;"",),IF(OR(INDEX(OHZ_HAZ_NETGROSS,99,1)="",INDEX(OHZ_HAZ_UNIT,99,1)="",),FALSE,TRUE),TRUE)</f>
        <v>1</v>
      </c>
      <c r="K1106" s="52" t="str">
        <f t="shared" si="36"/>
        <v>Row 99 - For ‘Transport unit’ if ‘Amount’ is given then ‘Gross / Net’ and ‘Amount unit’ are required</v>
      </c>
      <c r="L1106" s="236" t="s">
        <v>1853</v>
      </c>
    </row>
    <row r="1107" spans="7:12">
      <c r="G1107" s="250" t="b">
        <f>IF(OR(INDEX(IHZ_HAZ_AMOUNT,100,1)&lt;&gt;"",),IF(OR(INDEX(IHZ_HAZ_NETGROSS,100,1)="",INDEX(IHZ_HAZ_UNIT,100,1)="",),FALSE,TRUE),TRUE)</f>
        <v>1</v>
      </c>
      <c r="H1107" s="52" t="str">
        <f t="shared" si="35"/>
        <v>Row 100 - For ‘Transport unit’ if ‘Amount’ is given then ‘Gross / Net’ and ‘Amount unit’ are required</v>
      </c>
      <c r="I1107" s="236" t="s">
        <v>1853</v>
      </c>
      <c r="J1107" s="52" t="b">
        <f>IF(OR(INDEX(OHZ_HAZ_AMOUNT,100,1)&lt;&gt;"",),IF(OR(INDEX(OHZ_HAZ_NETGROSS,100,1)="",INDEX(OHZ_HAZ_UNIT,100,1)="",),FALSE,TRUE),TRUE)</f>
        <v>1</v>
      </c>
      <c r="K1107" s="52" t="str">
        <f t="shared" si="36"/>
        <v>Row 100 - For ‘Transport unit’ if ‘Amount’ is given then ‘Gross / Net’ and ‘Amount unit’ are required</v>
      </c>
      <c r="L1107" s="236" t="s">
        <v>1853</v>
      </c>
    </row>
    <row r="1108" spans="7:12">
      <c r="G1108" s="250" t="b">
        <f>IF(OR(INDEX(IHZ_HAZ_AMOUNT,101,1)&lt;&gt;"",),IF(OR(INDEX(IHZ_HAZ_NETGROSS,101,1)="",INDEX(IHZ_HAZ_UNIT,101,1)="",),FALSE,TRUE),TRUE)</f>
        <v>1</v>
      </c>
      <c r="H1108" s="52" t="str">
        <f t="shared" si="35"/>
        <v>Row 101 - For ‘Transport unit’ if ‘Amount’ is given then ‘Gross / Net’ and ‘Amount unit’ are required</v>
      </c>
      <c r="I1108" s="236" t="s">
        <v>1853</v>
      </c>
      <c r="J1108" s="52" t="b">
        <f>IF(OR(INDEX(OHZ_HAZ_AMOUNT,101,1)&lt;&gt;"",),IF(OR(INDEX(OHZ_HAZ_NETGROSS,101,1)="",INDEX(OHZ_HAZ_UNIT,101,1)="",),FALSE,TRUE),TRUE)</f>
        <v>1</v>
      </c>
      <c r="K1108" s="52" t="str">
        <f t="shared" si="36"/>
        <v>Row 101 - For ‘Transport unit’ if ‘Amount’ is given then ‘Gross / Net’ and ‘Amount unit’ are required</v>
      </c>
      <c r="L1108" s="236" t="s">
        <v>1853</v>
      </c>
    </row>
    <row r="1109" spans="7:12">
      <c r="G1109" s="250" t="b">
        <f>IF(OR(INDEX(IHZ_HAZ_AMOUNT,102,1)&lt;&gt;"",),IF(OR(INDEX(IHZ_HAZ_NETGROSS,102,1)="",INDEX(IHZ_HAZ_UNIT,102,1)="",),FALSE,TRUE),TRUE)</f>
        <v>1</v>
      </c>
      <c r="H1109" s="52" t="str">
        <f t="shared" si="35"/>
        <v>Row 102 - For ‘Transport unit’ if ‘Amount’ is given then ‘Gross / Net’ and ‘Amount unit’ are required</v>
      </c>
      <c r="I1109" s="236" t="s">
        <v>1853</v>
      </c>
      <c r="J1109" s="52" t="b">
        <f>IF(OR(INDEX(OHZ_HAZ_AMOUNT,102,1)&lt;&gt;"",),IF(OR(INDEX(OHZ_HAZ_NETGROSS,102,1)="",INDEX(OHZ_HAZ_UNIT,102,1)="",),FALSE,TRUE),TRUE)</f>
        <v>1</v>
      </c>
      <c r="K1109" s="52" t="str">
        <f t="shared" si="36"/>
        <v>Row 102 - For ‘Transport unit’ if ‘Amount’ is given then ‘Gross / Net’ and ‘Amount unit’ are required</v>
      </c>
      <c r="L1109" s="236" t="s">
        <v>1853</v>
      </c>
    </row>
    <row r="1110" spans="7:12">
      <c r="G1110" s="250" t="b">
        <f>IF(OR(INDEX(IHZ_HAZ_AMOUNT,103,1)&lt;&gt;"",),IF(OR(INDEX(IHZ_HAZ_NETGROSS,103,1)="",INDEX(IHZ_HAZ_UNIT,103,1)="",),FALSE,TRUE),TRUE)</f>
        <v>1</v>
      </c>
      <c r="H1110" s="52" t="str">
        <f t="shared" si="35"/>
        <v>Row 103 - For ‘Transport unit’ if ‘Amount’ is given then ‘Gross / Net’ and ‘Amount unit’ are required</v>
      </c>
      <c r="I1110" s="236" t="s">
        <v>1853</v>
      </c>
      <c r="J1110" s="52" t="b">
        <f>IF(OR(INDEX(OHZ_HAZ_AMOUNT,103,1)&lt;&gt;"",),IF(OR(INDEX(OHZ_HAZ_NETGROSS,103,1)="",INDEX(OHZ_HAZ_UNIT,103,1)="",),FALSE,TRUE),TRUE)</f>
        <v>1</v>
      </c>
      <c r="K1110" s="52" t="str">
        <f t="shared" si="36"/>
        <v>Row 103 - For ‘Transport unit’ if ‘Amount’ is given then ‘Gross / Net’ and ‘Amount unit’ are required</v>
      </c>
      <c r="L1110" s="236" t="s">
        <v>1853</v>
      </c>
    </row>
    <row r="1111" spans="7:12">
      <c r="G1111" s="250" t="b">
        <f>IF(OR(INDEX(IHZ_HAZ_AMOUNT,104,1)&lt;&gt;"",),IF(OR(INDEX(IHZ_HAZ_NETGROSS,104,1)="",INDEX(IHZ_HAZ_UNIT,104,1)="",),FALSE,TRUE),TRUE)</f>
        <v>1</v>
      </c>
      <c r="H1111" s="52" t="str">
        <f t="shared" si="35"/>
        <v>Row 104 - For ‘Transport unit’ if ‘Amount’ is given then ‘Gross / Net’ and ‘Amount unit’ are required</v>
      </c>
      <c r="I1111" s="236" t="s">
        <v>1853</v>
      </c>
      <c r="J1111" s="52" t="b">
        <f>IF(OR(INDEX(OHZ_HAZ_AMOUNT,104,1)&lt;&gt;"",),IF(OR(INDEX(OHZ_HAZ_NETGROSS,104,1)="",INDEX(OHZ_HAZ_UNIT,104,1)="",),FALSE,TRUE),TRUE)</f>
        <v>1</v>
      </c>
      <c r="K1111" s="52" t="str">
        <f t="shared" si="36"/>
        <v>Row 104 - For ‘Transport unit’ if ‘Amount’ is given then ‘Gross / Net’ and ‘Amount unit’ are required</v>
      </c>
      <c r="L1111" s="236" t="s">
        <v>1853</v>
      </c>
    </row>
    <row r="1112" spans="7:12">
      <c r="G1112" s="250" t="b">
        <f>IF(OR(INDEX(IHZ_HAZ_AMOUNT,105,1)&lt;&gt;"",),IF(OR(INDEX(IHZ_HAZ_NETGROSS,105,1)="",INDEX(IHZ_HAZ_UNIT,105,1)="",),FALSE,TRUE),TRUE)</f>
        <v>1</v>
      </c>
      <c r="H1112" s="52" t="str">
        <f t="shared" si="35"/>
        <v>Row 105 - For ‘Transport unit’ if ‘Amount’ is given then ‘Gross / Net’ and ‘Amount unit’ are required</v>
      </c>
      <c r="I1112" s="236" t="s">
        <v>1853</v>
      </c>
      <c r="J1112" s="52" t="b">
        <f>IF(OR(INDEX(OHZ_HAZ_AMOUNT,105,1)&lt;&gt;"",),IF(OR(INDEX(OHZ_HAZ_NETGROSS,105,1)="",INDEX(OHZ_HAZ_UNIT,105,1)="",),FALSE,TRUE),TRUE)</f>
        <v>1</v>
      </c>
      <c r="K1112" s="52" t="str">
        <f t="shared" si="36"/>
        <v>Row 105 - For ‘Transport unit’ if ‘Amount’ is given then ‘Gross / Net’ and ‘Amount unit’ are required</v>
      </c>
      <c r="L1112" s="236" t="s">
        <v>1853</v>
      </c>
    </row>
    <row r="1113" spans="7:12">
      <c r="G1113" s="250" t="b">
        <f>IF(OR(INDEX(IHZ_HAZ_AMOUNT,106,1)&lt;&gt;"",),IF(OR(INDEX(IHZ_HAZ_NETGROSS,106,1)="",INDEX(IHZ_HAZ_UNIT,106,1)="",),FALSE,TRUE),TRUE)</f>
        <v>1</v>
      </c>
      <c r="H1113" s="52" t="str">
        <f t="shared" si="35"/>
        <v>Row 106 - For ‘Transport unit’ if ‘Amount’ is given then ‘Gross / Net’ and ‘Amount unit’ are required</v>
      </c>
      <c r="I1113" s="236" t="s">
        <v>1853</v>
      </c>
      <c r="J1113" s="52" t="b">
        <f>IF(OR(INDEX(OHZ_HAZ_AMOUNT,106,1)&lt;&gt;"",),IF(OR(INDEX(OHZ_HAZ_NETGROSS,106,1)="",INDEX(OHZ_HAZ_UNIT,106,1)="",),FALSE,TRUE),TRUE)</f>
        <v>1</v>
      </c>
      <c r="K1113" s="52" t="str">
        <f t="shared" si="36"/>
        <v>Row 106 - For ‘Transport unit’ if ‘Amount’ is given then ‘Gross / Net’ and ‘Amount unit’ are required</v>
      </c>
      <c r="L1113" s="236" t="s">
        <v>1853</v>
      </c>
    </row>
    <row r="1114" spans="7:12">
      <c r="G1114" s="250" t="b">
        <f>IF(OR(INDEX(IHZ_HAZ_AMOUNT,107,1)&lt;&gt;"",),IF(OR(INDEX(IHZ_HAZ_NETGROSS,107,1)="",INDEX(IHZ_HAZ_UNIT,107,1)="",),FALSE,TRUE),TRUE)</f>
        <v>1</v>
      </c>
      <c r="H1114" s="52" t="str">
        <f t="shared" si="35"/>
        <v>Row 107 - For ‘Transport unit’ if ‘Amount’ is given then ‘Gross / Net’ and ‘Amount unit’ are required</v>
      </c>
      <c r="I1114" s="236" t="s">
        <v>1853</v>
      </c>
      <c r="J1114" s="52" t="b">
        <f>IF(OR(INDEX(OHZ_HAZ_AMOUNT,107,1)&lt;&gt;"",),IF(OR(INDEX(OHZ_HAZ_NETGROSS,107,1)="",INDEX(OHZ_HAZ_UNIT,107,1)="",),FALSE,TRUE),TRUE)</f>
        <v>1</v>
      </c>
      <c r="K1114" s="52" t="str">
        <f t="shared" si="36"/>
        <v>Row 107 - For ‘Transport unit’ if ‘Amount’ is given then ‘Gross / Net’ and ‘Amount unit’ are required</v>
      </c>
      <c r="L1114" s="236" t="s">
        <v>1853</v>
      </c>
    </row>
    <row r="1115" spans="7:12">
      <c r="G1115" s="250" t="b">
        <f>IF(OR(INDEX(IHZ_HAZ_AMOUNT,108,1)&lt;&gt;"",),IF(OR(INDEX(IHZ_HAZ_NETGROSS,108,1)="",INDEX(IHZ_HAZ_UNIT,108,1)="",),FALSE,TRUE),TRUE)</f>
        <v>1</v>
      </c>
      <c r="H1115" s="52" t="str">
        <f t="shared" si="35"/>
        <v>Row 108 - For ‘Transport unit’ if ‘Amount’ is given then ‘Gross / Net’ and ‘Amount unit’ are required</v>
      </c>
      <c r="I1115" s="236" t="s">
        <v>1853</v>
      </c>
      <c r="J1115" s="52" t="b">
        <f>IF(OR(INDEX(OHZ_HAZ_AMOUNT,108,1)&lt;&gt;"",),IF(OR(INDEX(OHZ_HAZ_NETGROSS,108,1)="",INDEX(OHZ_HAZ_UNIT,108,1)="",),FALSE,TRUE),TRUE)</f>
        <v>1</v>
      </c>
      <c r="K1115" s="52" t="str">
        <f t="shared" si="36"/>
        <v>Row 108 - For ‘Transport unit’ if ‘Amount’ is given then ‘Gross / Net’ and ‘Amount unit’ are required</v>
      </c>
      <c r="L1115" s="236" t="s">
        <v>1853</v>
      </c>
    </row>
    <row r="1116" spans="7:12">
      <c r="G1116" s="250" t="b">
        <f>IF(OR(INDEX(IHZ_HAZ_AMOUNT,109,1)&lt;&gt;"",),IF(OR(INDEX(IHZ_HAZ_NETGROSS,109,1)="",INDEX(IHZ_HAZ_UNIT,109,1)="",),FALSE,TRUE),TRUE)</f>
        <v>1</v>
      </c>
      <c r="H1116" s="52" t="str">
        <f t="shared" si="35"/>
        <v>Row 109 - For ‘Transport unit’ if ‘Amount’ is given then ‘Gross / Net’ and ‘Amount unit’ are required</v>
      </c>
      <c r="I1116" s="236" t="s">
        <v>1853</v>
      </c>
      <c r="J1116" s="52" t="b">
        <f>IF(OR(INDEX(OHZ_HAZ_AMOUNT,109,1)&lt;&gt;"",),IF(OR(INDEX(OHZ_HAZ_NETGROSS,109,1)="",INDEX(OHZ_HAZ_UNIT,109,1)="",),FALSE,TRUE),TRUE)</f>
        <v>1</v>
      </c>
      <c r="K1116" s="52" t="str">
        <f t="shared" si="36"/>
        <v>Row 109 - For ‘Transport unit’ if ‘Amount’ is given then ‘Gross / Net’ and ‘Amount unit’ are required</v>
      </c>
      <c r="L1116" s="236" t="s">
        <v>1853</v>
      </c>
    </row>
    <row r="1117" spans="7:12">
      <c r="G1117" s="250" t="b">
        <f>IF(OR(INDEX(IHZ_HAZ_AMOUNT,110,1)&lt;&gt;"",),IF(OR(INDEX(IHZ_HAZ_NETGROSS,110,1)="",INDEX(IHZ_HAZ_UNIT,110,1)="",),FALSE,TRUE),TRUE)</f>
        <v>1</v>
      </c>
      <c r="H1117" s="52" t="str">
        <f t="shared" si="35"/>
        <v>Row 110 - For ‘Transport unit’ if ‘Amount’ is given then ‘Gross / Net’ and ‘Amount unit’ are required</v>
      </c>
      <c r="I1117" s="236" t="s">
        <v>1853</v>
      </c>
      <c r="J1117" s="52" t="b">
        <f>IF(OR(INDEX(OHZ_HAZ_AMOUNT,110,1)&lt;&gt;"",),IF(OR(INDEX(OHZ_HAZ_NETGROSS,110,1)="",INDEX(OHZ_HAZ_UNIT,110,1)="",),FALSE,TRUE),TRUE)</f>
        <v>1</v>
      </c>
      <c r="K1117" s="52" t="str">
        <f t="shared" si="36"/>
        <v>Row 110 - For ‘Transport unit’ if ‘Amount’ is given then ‘Gross / Net’ and ‘Amount unit’ are required</v>
      </c>
      <c r="L1117" s="236" t="s">
        <v>1853</v>
      </c>
    </row>
    <row r="1118" spans="7:12">
      <c r="G1118" s="250" t="b">
        <f>IF(OR(INDEX(IHZ_HAZ_AMOUNT,111,1)&lt;&gt;"",),IF(OR(INDEX(IHZ_HAZ_NETGROSS,111,1)="",INDEX(IHZ_HAZ_UNIT,111,1)="",),FALSE,TRUE),TRUE)</f>
        <v>1</v>
      </c>
      <c r="H1118" s="52" t="str">
        <f t="shared" si="35"/>
        <v>Row 111 - For ‘Transport unit’ if ‘Amount’ is given then ‘Gross / Net’ and ‘Amount unit’ are required</v>
      </c>
      <c r="I1118" s="236" t="s">
        <v>1853</v>
      </c>
      <c r="J1118" s="52" t="b">
        <f>IF(OR(INDEX(OHZ_HAZ_AMOUNT,111,1)&lt;&gt;"",),IF(OR(INDEX(OHZ_HAZ_NETGROSS,111,1)="",INDEX(OHZ_HAZ_UNIT,111,1)="",),FALSE,TRUE),TRUE)</f>
        <v>1</v>
      </c>
      <c r="K1118" s="52" t="str">
        <f t="shared" si="36"/>
        <v>Row 111 - For ‘Transport unit’ if ‘Amount’ is given then ‘Gross / Net’ and ‘Amount unit’ are required</v>
      </c>
      <c r="L1118" s="236" t="s">
        <v>1853</v>
      </c>
    </row>
    <row r="1119" spans="7:12">
      <c r="G1119" s="250" t="b">
        <f>IF(OR(INDEX(IHZ_HAZ_AMOUNT,112,1)&lt;&gt;"",),IF(OR(INDEX(IHZ_HAZ_NETGROSS,112,1)="",INDEX(IHZ_HAZ_UNIT,112,1)="",),FALSE,TRUE),TRUE)</f>
        <v>1</v>
      </c>
      <c r="H1119" s="52" t="str">
        <f t="shared" si="35"/>
        <v>Row 112 - For ‘Transport unit’ if ‘Amount’ is given then ‘Gross / Net’ and ‘Amount unit’ are required</v>
      </c>
      <c r="I1119" s="236" t="s">
        <v>1853</v>
      </c>
      <c r="J1119" s="52" t="b">
        <f>IF(OR(INDEX(OHZ_HAZ_AMOUNT,112,1)&lt;&gt;"",),IF(OR(INDEX(OHZ_HAZ_NETGROSS,112,1)="",INDEX(OHZ_HAZ_UNIT,112,1)="",),FALSE,TRUE),TRUE)</f>
        <v>1</v>
      </c>
      <c r="K1119" s="52" t="str">
        <f t="shared" si="36"/>
        <v>Row 112 - For ‘Transport unit’ if ‘Amount’ is given then ‘Gross / Net’ and ‘Amount unit’ are required</v>
      </c>
      <c r="L1119" s="236" t="s">
        <v>1853</v>
      </c>
    </row>
    <row r="1120" spans="7:12">
      <c r="G1120" s="250" t="b">
        <f>IF(OR(INDEX(IHZ_HAZ_AMOUNT,113,1)&lt;&gt;"",),IF(OR(INDEX(IHZ_HAZ_NETGROSS,113,1)="",INDEX(IHZ_HAZ_UNIT,113,1)="",),FALSE,TRUE),TRUE)</f>
        <v>1</v>
      </c>
      <c r="H1120" s="52" t="str">
        <f t="shared" si="35"/>
        <v>Row 113 - For ‘Transport unit’ if ‘Amount’ is given then ‘Gross / Net’ and ‘Amount unit’ are required</v>
      </c>
      <c r="I1120" s="236" t="s">
        <v>1853</v>
      </c>
      <c r="J1120" s="52" t="b">
        <f>IF(OR(INDEX(OHZ_HAZ_AMOUNT,113,1)&lt;&gt;"",),IF(OR(INDEX(OHZ_HAZ_NETGROSS,113,1)="",INDEX(OHZ_HAZ_UNIT,113,1)="",),FALSE,TRUE),TRUE)</f>
        <v>1</v>
      </c>
      <c r="K1120" s="52" t="str">
        <f t="shared" si="36"/>
        <v>Row 113 - For ‘Transport unit’ if ‘Amount’ is given then ‘Gross / Net’ and ‘Amount unit’ are required</v>
      </c>
      <c r="L1120" s="236" t="s">
        <v>1853</v>
      </c>
    </row>
    <row r="1121" spans="7:12">
      <c r="G1121" s="250" t="b">
        <f>IF(OR(INDEX(IHZ_HAZ_AMOUNT,114,1)&lt;&gt;"",),IF(OR(INDEX(IHZ_HAZ_NETGROSS,114,1)="",INDEX(IHZ_HAZ_UNIT,114,1)="",),FALSE,TRUE),TRUE)</f>
        <v>1</v>
      </c>
      <c r="H1121" s="52" t="str">
        <f t="shared" si="35"/>
        <v>Row 114 - For ‘Transport unit’ if ‘Amount’ is given then ‘Gross / Net’ and ‘Amount unit’ are required</v>
      </c>
      <c r="I1121" s="236" t="s">
        <v>1853</v>
      </c>
      <c r="J1121" s="52" t="b">
        <f>IF(OR(INDEX(OHZ_HAZ_AMOUNT,114,1)&lt;&gt;"",),IF(OR(INDEX(OHZ_HAZ_NETGROSS,114,1)="",INDEX(OHZ_HAZ_UNIT,114,1)="",),FALSE,TRUE),TRUE)</f>
        <v>1</v>
      </c>
      <c r="K1121" s="52" t="str">
        <f t="shared" si="36"/>
        <v>Row 114 - For ‘Transport unit’ if ‘Amount’ is given then ‘Gross / Net’ and ‘Amount unit’ are required</v>
      </c>
      <c r="L1121" s="236" t="s">
        <v>1853</v>
      </c>
    </row>
    <row r="1122" spans="7:12">
      <c r="G1122" s="250" t="b">
        <f>IF(OR(INDEX(IHZ_HAZ_AMOUNT,115,1)&lt;&gt;"",),IF(OR(INDEX(IHZ_HAZ_NETGROSS,115,1)="",INDEX(IHZ_HAZ_UNIT,115,1)="",),FALSE,TRUE),TRUE)</f>
        <v>1</v>
      </c>
      <c r="H1122" s="52" t="str">
        <f t="shared" si="35"/>
        <v>Row 115 - For ‘Transport unit’ if ‘Amount’ is given then ‘Gross / Net’ and ‘Amount unit’ are required</v>
      </c>
      <c r="I1122" s="236" t="s">
        <v>1853</v>
      </c>
      <c r="J1122" s="52" t="b">
        <f>IF(OR(INDEX(OHZ_HAZ_AMOUNT,115,1)&lt;&gt;"",),IF(OR(INDEX(OHZ_HAZ_NETGROSS,115,1)="",INDEX(OHZ_HAZ_UNIT,115,1)="",),FALSE,TRUE),TRUE)</f>
        <v>1</v>
      </c>
      <c r="K1122" s="52" t="str">
        <f t="shared" si="36"/>
        <v>Row 115 - For ‘Transport unit’ if ‘Amount’ is given then ‘Gross / Net’ and ‘Amount unit’ are required</v>
      </c>
      <c r="L1122" s="236" t="s">
        <v>1853</v>
      </c>
    </row>
    <row r="1123" spans="7:12">
      <c r="G1123" s="250" t="b">
        <f>IF(OR(INDEX(IHZ_HAZ_AMOUNT,116,1)&lt;&gt;"",),IF(OR(INDEX(IHZ_HAZ_NETGROSS,116,1)="",INDEX(IHZ_HAZ_UNIT,116,1)="",),FALSE,TRUE),TRUE)</f>
        <v>1</v>
      </c>
      <c r="H1123" s="52" t="str">
        <f t="shared" si="35"/>
        <v>Row 116 - For ‘Transport unit’ if ‘Amount’ is given then ‘Gross / Net’ and ‘Amount unit’ are required</v>
      </c>
      <c r="I1123" s="236" t="s">
        <v>1853</v>
      </c>
      <c r="J1123" s="52" t="b">
        <f>IF(OR(INDEX(OHZ_HAZ_AMOUNT,116,1)&lt;&gt;"",),IF(OR(INDEX(OHZ_HAZ_NETGROSS,116,1)="",INDEX(OHZ_HAZ_UNIT,116,1)="",),FALSE,TRUE),TRUE)</f>
        <v>1</v>
      </c>
      <c r="K1123" s="52" t="str">
        <f t="shared" si="36"/>
        <v>Row 116 - For ‘Transport unit’ if ‘Amount’ is given then ‘Gross / Net’ and ‘Amount unit’ are required</v>
      </c>
      <c r="L1123" s="236" t="s">
        <v>1853</v>
      </c>
    </row>
    <row r="1124" spans="7:12">
      <c r="G1124" s="250" t="b">
        <f>IF(OR(INDEX(IHZ_HAZ_AMOUNT,117,1)&lt;&gt;"",),IF(OR(INDEX(IHZ_HAZ_NETGROSS,117,1)="",INDEX(IHZ_HAZ_UNIT,117,1)="",),FALSE,TRUE),TRUE)</f>
        <v>1</v>
      </c>
      <c r="H1124" s="52" t="str">
        <f t="shared" si="35"/>
        <v>Row 117 - For ‘Transport unit’ if ‘Amount’ is given then ‘Gross / Net’ and ‘Amount unit’ are required</v>
      </c>
      <c r="I1124" s="236" t="s">
        <v>1853</v>
      </c>
      <c r="J1124" s="52" t="b">
        <f>IF(OR(INDEX(OHZ_HAZ_AMOUNT,117,1)&lt;&gt;"",),IF(OR(INDEX(OHZ_HAZ_NETGROSS,117,1)="",INDEX(OHZ_HAZ_UNIT,117,1)="",),FALSE,TRUE),TRUE)</f>
        <v>1</v>
      </c>
      <c r="K1124" s="52" t="str">
        <f t="shared" si="36"/>
        <v>Row 117 - For ‘Transport unit’ if ‘Amount’ is given then ‘Gross / Net’ and ‘Amount unit’ are required</v>
      </c>
      <c r="L1124" s="236" t="s">
        <v>1853</v>
      </c>
    </row>
    <row r="1125" spans="7:12">
      <c r="G1125" s="250" t="b">
        <f>IF(OR(INDEX(IHZ_HAZ_AMOUNT,118,1)&lt;&gt;"",),IF(OR(INDEX(IHZ_HAZ_NETGROSS,118,1)="",INDEX(IHZ_HAZ_UNIT,118,1)="",),FALSE,TRUE),TRUE)</f>
        <v>1</v>
      </c>
      <c r="H1125" s="52" t="str">
        <f t="shared" si="35"/>
        <v>Row 118 - For ‘Transport unit’ if ‘Amount’ is given then ‘Gross / Net’ and ‘Amount unit’ are required</v>
      </c>
      <c r="I1125" s="236" t="s">
        <v>1853</v>
      </c>
      <c r="J1125" s="52" t="b">
        <f>IF(OR(INDEX(OHZ_HAZ_AMOUNT,118,1)&lt;&gt;"",),IF(OR(INDEX(OHZ_HAZ_NETGROSS,118,1)="",INDEX(OHZ_HAZ_UNIT,118,1)="",),FALSE,TRUE),TRUE)</f>
        <v>1</v>
      </c>
      <c r="K1125" s="52" t="str">
        <f t="shared" si="36"/>
        <v>Row 118 - For ‘Transport unit’ if ‘Amount’ is given then ‘Gross / Net’ and ‘Amount unit’ are required</v>
      </c>
      <c r="L1125" s="236" t="s">
        <v>1853</v>
      </c>
    </row>
    <row r="1126" spans="7:12">
      <c r="G1126" s="250" t="b">
        <f>IF(OR(INDEX(IHZ_HAZ_AMOUNT,119,1)&lt;&gt;"",),IF(OR(INDEX(IHZ_HAZ_NETGROSS,119,1)="",INDEX(IHZ_HAZ_UNIT,119,1)="",),FALSE,TRUE),TRUE)</f>
        <v>1</v>
      </c>
      <c r="H1126" s="52" t="str">
        <f t="shared" si="35"/>
        <v>Row 119 - For ‘Transport unit’ if ‘Amount’ is given then ‘Gross / Net’ and ‘Amount unit’ are required</v>
      </c>
      <c r="I1126" s="236" t="s">
        <v>1853</v>
      </c>
      <c r="J1126" s="52" t="b">
        <f>IF(OR(INDEX(OHZ_HAZ_AMOUNT,119,1)&lt;&gt;"",),IF(OR(INDEX(OHZ_HAZ_NETGROSS,119,1)="",INDEX(OHZ_HAZ_UNIT,119,1)="",),FALSE,TRUE),TRUE)</f>
        <v>1</v>
      </c>
      <c r="K1126" s="52" t="str">
        <f t="shared" si="36"/>
        <v>Row 119 - For ‘Transport unit’ if ‘Amount’ is given then ‘Gross / Net’ and ‘Amount unit’ are required</v>
      </c>
      <c r="L1126" s="236" t="s">
        <v>1853</v>
      </c>
    </row>
    <row r="1127" spans="7:12">
      <c r="G1127" s="250" t="b">
        <f>IF(OR(INDEX(IHZ_HAZ_AMOUNT,120,1)&lt;&gt;"",),IF(OR(INDEX(IHZ_HAZ_NETGROSS,120,1)="",INDEX(IHZ_HAZ_UNIT,120,1)="",),FALSE,TRUE),TRUE)</f>
        <v>1</v>
      </c>
      <c r="H1127" s="52" t="str">
        <f t="shared" si="35"/>
        <v>Row 120 - For ‘Transport unit’ if ‘Amount’ is given then ‘Gross / Net’ and ‘Amount unit’ are required</v>
      </c>
      <c r="I1127" s="236" t="s">
        <v>1853</v>
      </c>
      <c r="J1127" s="52" t="b">
        <f>IF(OR(INDEX(OHZ_HAZ_AMOUNT,120,1)&lt;&gt;"",),IF(OR(INDEX(OHZ_HAZ_NETGROSS,120,1)="",INDEX(OHZ_HAZ_UNIT,120,1)="",),FALSE,TRUE),TRUE)</f>
        <v>1</v>
      </c>
      <c r="K1127" s="52" t="str">
        <f t="shared" si="36"/>
        <v>Row 120 - For ‘Transport unit’ if ‘Amount’ is given then ‘Gross / Net’ and ‘Amount unit’ are required</v>
      </c>
      <c r="L1127" s="236" t="s">
        <v>1853</v>
      </c>
    </row>
    <row r="1128" spans="7:12">
      <c r="G1128" s="250" t="b">
        <f>IF(OR(INDEX(IHZ_HAZ_AMOUNT,121,1)&lt;&gt;"",),IF(OR(INDEX(IHZ_HAZ_NETGROSS,121,1)="",INDEX(IHZ_HAZ_UNIT,121,1)="",),FALSE,TRUE),TRUE)</f>
        <v>1</v>
      </c>
      <c r="H1128" s="52" t="str">
        <f t="shared" si="35"/>
        <v>Row 121 - For ‘Transport unit’ if ‘Amount’ is given then ‘Gross / Net’ and ‘Amount unit’ are required</v>
      </c>
      <c r="I1128" s="236" t="s">
        <v>1853</v>
      </c>
      <c r="J1128" s="52" t="b">
        <f>IF(OR(INDEX(OHZ_HAZ_AMOUNT,121,1)&lt;&gt;"",),IF(OR(INDEX(OHZ_HAZ_NETGROSS,121,1)="",INDEX(OHZ_HAZ_UNIT,121,1)="",),FALSE,TRUE),TRUE)</f>
        <v>1</v>
      </c>
      <c r="K1128" s="52" t="str">
        <f t="shared" si="36"/>
        <v>Row 121 - For ‘Transport unit’ if ‘Amount’ is given then ‘Gross / Net’ and ‘Amount unit’ are required</v>
      </c>
      <c r="L1128" s="236" t="s">
        <v>1853</v>
      </c>
    </row>
    <row r="1129" spans="7:12">
      <c r="G1129" s="250" t="b">
        <f>IF(OR(INDEX(IHZ_HAZ_AMOUNT,122,1)&lt;&gt;"",),IF(OR(INDEX(IHZ_HAZ_NETGROSS,122,1)="",INDEX(IHZ_HAZ_UNIT,122,1)="",),FALSE,TRUE),TRUE)</f>
        <v>1</v>
      </c>
      <c r="H1129" s="52" t="str">
        <f t="shared" si="35"/>
        <v>Row 122 - For ‘Transport unit’ if ‘Amount’ is given then ‘Gross / Net’ and ‘Amount unit’ are required</v>
      </c>
      <c r="I1129" s="236" t="s">
        <v>1853</v>
      </c>
      <c r="J1129" s="52" t="b">
        <f>IF(OR(INDEX(OHZ_HAZ_AMOUNT,122,1)&lt;&gt;"",),IF(OR(INDEX(OHZ_HAZ_NETGROSS,122,1)="",INDEX(OHZ_HAZ_UNIT,122,1)="",),FALSE,TRUE),TRUE)</f>
        <v>1</v>
      </c>
      <c r="K1129" s="52" t="str">
        <f t="shared" si="36"/>
        <v>Row 122 - For ‘Transport unit’ if ‘Amount’ is given then ‘Gross / Net’ and ‘Amount unit’ are required</v>
      </c>
      <c r="L1129" s="236" t="s">
        <v>1853</v>
      </c>
    </row>
    <row r="1130" spans="7:12">
      <c r="G1130" s="250" t="b">
        <f>IF(OR(INDEX(IHZ_HAZ_AMOUNT,123,1)&lt;&gt;"",),IF(OR(INDEX(IHZ_HAZ_NETGROSS,123,1)="",INDEX(IHZ_HAZ_UNIT,123,1)="",),FALSE,TRUE),TRUE)</f>
        <v>1</v>
      </c>
      <c r="H1130" s="52" t="str">
        <f t="shared" si="35"/>
        <v>Row 123 - For ‘Transport unit’ if ‘Amount’ is given then ‘Gross / Net’ and ‘Amount unit’ are required</v>
      </c>
      <c r="I1130" s="236" t="s">
        <v>1853</v>
      </c>
      <c r="J1130" s="52" t="b">
        <f>IF(OR(INDEX(OHZ_HAZ_AMOUNT,123,1)&lt;&gt;"",),IF(OR(INDEX(OHZ_HAZ_NETGROSS,123,1)="",INDEX(OHZ_HAZ_UNIT,123,1)="",),FALSE,TRUE),TRUE)</f>
        <v>1</v>
      </c>
      <c r="K1130" s="52" t="str">
        <f t="shared" si="36"/>
        <v>Row 123 - For ‘Transport unit’ if ‘Amount’ is given then ‘Gross / Net’ and ‘Amount unit’ are required</v>
      </c>
      <c r="L1130" s="236" t="s">
        <v>1853</v>
      </c>
    </row>
    <row r="1131" spans="7:12">
      <c r="G1131" s="250" t="b">
        <f>IF(OR(INDEX(IHZ_HAZ_AMOUNT,124,1)&lt;&gt;"",),IF(OR(INDEX(IHZ_HAZ_NETGROSS,124,1)="",INDEX(IHZ_HAZ_UNIT,124,1)="",),FALSE,TRUE),TRUE)</f>
        <v>1</v>
      </c>
      <c r="H1131" s="52" t="str">
        <f t="shared" si="35"/>
        <v>Row 124 - For ‘Transport unit’ if ‘Amount’ is given then ‘Gross / Net’ and ‘Amount unit’ are required</v>
      </c>
      <c r="I1131" s="236" t="s">
        <v>1853</v>
      </c>
      <c r="J1131" s="52" t="b">
        <f>IF(OR(INDEX(OHZ_HAZ_AMOUNT,124,1)&lt;&gt;"",),IF(OR(INDEX(OHZ_HAZ_NETGROSS,124,1)="",INDEX(OHZ_HAZ_UNIT,124,1)="",),FALSE,TRUE),TRUE)</f>
        <v>1</v>
      </c>
      <c r="K1131" s="52" t="str">
        <f t="shared" si="36"/>
        <v>Row 124 - For ‘Transport unit’ if ‘Amount’ is given then ‘Gross / Net’ and ‘Amount unit’ are required</v>
      </c>
      <c r="L1131" s="236" t="s">
        <v>1853</v>
      </c>
    </row>
    <row r="1132" spans="7:12">
      <c r="G1132" s="250" t="b">
        <f>IF(OR(INDEX(IHZ_HAZ_AMOUNT,125,1)&lt;&gt;"",),IF(OR(INDEX(IHZ_HAZ_NETGROSS,125,1)="",INDEX(IHZ_HAZ_UNIT,125,1)="",),FALSE,TRUE),TRUE)</f>
        <v>1</v>
      </c>
      <c r="H1132" s="52" t="str">
        <f t="shared" si="35"/>
        <v>Row 125 - For ‘Transport unit’ if ‘Amount’ is given then ‘Gross / Net’ and ‘Amount unit’ are required</v>
      </c>
      <c r="I1132" s="236" t="s">
        <v>1853</v>
      </c>
      <c r="J1132" s="52" t="b">
        <f>IF(OR(INDEX(OHZ_HAZ_AMOUNT,125,1)&lt;&gt;"",),IF(OR(INDEX(OHZ_HAZ_NETGROSS,125,1)="",INDEX(OHZ_HAZ_UNIT,125,1)="",),FALSE,TRUE),TRUE)</f>
        <v>1</v>
      </c>
      <c r="K1132" s="52" t="str">
        <f t="shared" si="36"/>
        <v>Row 125 - For ‘Transport unit’ if ‘Amount’ is given then ‘Gross / Net’ and ‘Amount unit’ are required</v>
      </c>
      <c r="L1132" s="236" t="s">
        <v>1853</v>
      </c>
    </row>
    <row r="1133" spans="7:12">
      <c r="G1133" s="250" t="b">
        <f>IF(OR(INDEX(IHZ_HAZ_AMOUNT,126,1)&lt;&gt;"",),IF(OR(INDEX(IHZ_HAZ_NETGROSS,126,1)="",INDEX(IHZ_HAZ_UNIT,126,1)="",),FALSE,TRUE),TRUE)</f>
        <v>1</v>
      </c>
      <c r="H1133" s="52" t="str">
        <f t="shared" si="35"/>
        <v>Row 126 - For ‘Transport unit’ if ‘Amount’ is given then ‘Gross / Net’ and ‘Amount unit’ are required</v>
      </c>
      <c r="I1133" s="236" t="s">
        <v>1853</v>
      </c>
      <c r="J1133" s="52" t="b">
        <f>IF(OR(INDEX(OHZ_HAZ_AMOUNT,126,1)&lt;&gt;"",),IF(OR(INDEX(OHZ_HAZ_NETGROSS,126,1)="",INDEX(OHZ_HAZ_UNIT,126,1)="",),FALSE,TRUE),TRUE)</f>
        <v>1</v>
      </c>
      <c r="K1133" s="52" t="str">
        <f t="shared" si="36"/>
        <v>Row 126 - For ‘Transport unit’ if ‘Amount’ is given then ‘Gross / Net’ and ‘Amount unit’ are required</v>
      </c>
      <c r="L1133" s="236" t="s">
        <v>1853</v>
      </c>
    </row>
    <row r="1134" spans="7:12">
      <c r="G1134" s="250" t="b">
        <f>IF(OR(INDEX(IHZ_HAZ_AMOUNT,127,1)&lt;&gt;"",),IF(OR(INDEX(IHZ_HAZ_NETGROSS,127,1)="",INDEX(IHZ_HAZ_UNIT,127,1)="",),FALSE,TRUE),TRUE)</f>
        <v>1</v>
      </c>
      <c r="H1134" s="52" t="str">
        <f t="shared" si="35"/>
        <v>Row 127 - For ‘Transport unit’ if ‘Amount’ is given then ‘Gross / Net’ and ‘Amount unit’ are required</v>
      </c>
      <c r="I1134" s="236" t="s">
        <v>1853</v>
      </c>
      <c r="J1134" s="52" t="b">
        <f>IF(OR(INDEX(OHZ_HAZ_AMOUNT,127,1)&lt;&gt;"",),IF(OR(INDEX(OHZ_HAZ_NETGROSS,127,1)="",INDEX(OHZ_HAZ_UNIT,127,1)="",),FALSE,TRUE),TRUE)</f>
        <v>1</v>
      </c>
      <c r="K1134" s="52" t="str">
        <f t="shared" si="36"/>
        <v>Row 127 - For ‘Transport unit’ if ‘Amount’ is given then ‘Gross / Net’ and ‘Amount unit’ are required</v>
      </c>
      <c r="L1134" s="236" t="s">
        <v>1853</v>
      </c>
    </row>
    <row r="1135" spans="7:12">
      <c r="G1135" s="250" t="b">
        <f>IF(OR(INDEX(IHZ_HAZ_AMOUNT,128,1)&lt;&gt;"",),IF(OR(INDEX(IHZ_HAZ_NETGROSS,128,1)="",INDEX(IHZ_HAZ_UNIT,128,1)="",),FALSE,TRUE),TRUE)</f>
        <v>1</v>
      </c>
      <c r="H1135" s="52" t="str">
        <f t="shared" si="35"/>
        <v>Row 128 - For ‘Transport unit’ if ‘Amount’ is given then ‘Gross / Net’ and ‘Amount unit’ are required</v>
      </c>
      <c r="I1135" s="236" t="s">
        <v>1853</v>
      </c>
      <c r="J1135" s="52" t="b">
        <f>IF(OR(INDEX(OHZ_HAZ_AMOUNT,128,1)&lt;&gt;"",),IF(OR(INDEX(OHZ_HAZ_NETGROSS,128,1)="",INDEX(OHZ_HAZ_UNIT,128,1)="",),FALSE,TRUE),TRUE)</f>
        <v>1</v>
      </c>
      <c r="K1135" s="52" t="str">
        <f t="shared" si="36"/>
        <v>Row 128 - For ‘Transport unit’ if ‘Amount’ is given then ‘Gross / Net’ and ‘Amount unit’ are required</v>
      </c>
      <c r="L1135" s="236" t="s">
        <v>1853</v>
      </c>
    </row>
    <row r="1136" spans="7:12">
      <c r="G1136" s="250" t="b">
        <f>IF(OR(INDEX(IHZ_HAZ_AMOUNT,129,1)&lt;&gt;"",),IF(OR(INDEX(IHZ_HAZ_NETGROSS,129,1)="",INDEX(IHZ_HAZ_UNIT,129,1)="",),FALSE,TRUE),TRUE)</f>
        <v>1</v>
      </c>
      <c r="H1136" s="52" t="str">
        <f t="shared" si="35"/>
        <v>Row 129 - For ‘Transport unit’ if ‘Amount’ is given then ‘Gross / Net’ and ‘Amount unit’ are required</v>
      </c>
      <c r="I1136" s="236" t="s">
        <v>1853</v>
      </c>
      <c r="J1136" s="52" t="b">
        <f>IF(OR(INDEX(OHZ_HAZ_AMOUNT,129,1)&lt;&gt;"",),IF(OR(INDEX(OHZ_HAZ_NETGROSS,129,1)="",INDEX(OHZ_HAZ_UNIT,129,1)="",),FALSE,TRUE),TRUE)</f>
        <v>1</v>
      </c>
      <c r="K1136" s="52" t="str">
        <f t="shared" si="36"/>
        <v>Row 129 - For ‘Transport unit’ if ‘Amount’ is given then ‘Gross / Net’ and ‘Amount unit’ are required</v>
      </c>
      <c r="L1136" s="236" t="s">
        <v>1853</v>
      </c>
    </row>
    <row r="1137" spans="7:12">
      <c r="G1137" s="250" t="b">
        <f>IF(OR(INDEX(IHZ_HAZ_AMOUNT,130,1)&lt;&gt;"",),IF(OR(INDEX(IHZ_HAZ_NETGROSS,130,1)="",INDEX(IHZ_HAZ_UNIT,130,1)="",),FALSE,TRUE),TRUE)</f>
        <v>1</v>
      </c>
      <c r="H1137" s="52" t="str">
        <f t="shared" ref="H1137:H1200" si="37">T130&amp;$V$5</f>
        <v>Row 130 - For ‘Transport unit’ if ‘Amount’ is given then ‘Gross / Net’ and ‘Amount unit’ are required</v>
      </c>
      <c r="I1137" s="236" t="s">
        <v>1853</v>
      </c>
      <c r="J1137" s="52" t="b">
        <f>IF(OR(INDEX(OHZ_HAZ_AMOUNT,130,1)&lt;&gt;"",),IF(OR(INDEX(OHZ_HAZ_NETGROSS,130,1)="",INDEX(OHZ_HAZ_UNIT,130,1)="",),FALSE,TRUE),TRUE)</f>
        <v>1</v>
      </c>
      <c r="K1137" s="52" t="str">
        <f t="shared" ref="K1137:K1200" si="38">T130&amp;$V$5</f>
        <v>Row 130 - For ‘Transport unit’ if ‘Amount’ is given then ‘Gross / Net’ and ‘Amount unit’ are required</v>
      </c>
      <c r="L1137" s="236" t="s">
        <v>1853</v>
      </c>
    </row>
    <row r="1138" spans="7:12">
      <c r="G1138" s="250" t="b">
        <f>IF(OR(INDEX(IHZ_HAZ_AMOUNT,131,1)&lt;&gt;"",),IF(OR(INDEX(IHZ_HAZ_NETGROSS,131,1)="",INDEX(IHZ_HAZ_UNIT,131,1)="",),FALSE,TRUE),TRUE)</f>
        <v>1</v>
      </c>
      <c r="H1138" s="52" t="str">
        <f t="shared" si="37"/>
        <v>Row 131 - For ‘Transport unit’ if ‘Amount’ is given then ‘Gross / Net’ and ‘Amount unit’ are required</v>
      </c>
      <c r="I1138" s="236" t="s">
        <v>1853</v>
      </c>
      <c r="J1138" s="52" t="b">
        <f>IF(OR(INDEX(OHZ_HAZ_AMOUNT,131,1)&lt;&gt;"",),IF(OR(INDEX(OHZ_HAZ_NETGROSS,131,1)="",INDEX(OHZ_HAZ_UNIT,131,1)="",),FALSE,TRUE),TRUE)</f>
        <v>1</v>
      </c>
      <c r="K1138" s="52" t="str">
        <f t="shared" si="38"/>
        <v>Row 131 - For ‘Transport unit’ if ‘Amount’ is given then ‘Gross / Net’ and ‘Amount unit’ are required</v>
      </c>
      <c r="L1138" s="236" t="s">
        <v>1853</v>
      </c>
    </row>
    <row r="1139" spans="7:12">
      <c r="G1139" s="250" t="b">
        <f>IF(OR(INDEX(IHZ_HAZ_AMOUNT,132,1)&lt;&gt;"",),IF(OR(INDEX(IHZ_HAZ_NETGROSS,132,1)="",INDEX(IHZ_HAZ_UNIT,132,1)="",),FALSE,TRUE),TRUE)</f>
        <v>1</v>
      </c>
      <c r="H1139" s="52" t="str">
        <f t="shared" si="37"/>
        <v>Row 132 - For ‘Transport unit’ if ‘Amount’ is given then ‘Gross / Net’ and ‘Amount unit’ are required</v>
      </c>
      <c r="I1139" s="236" t="s">
        <v>1853</v>
      </c>
      <c r="J1139" s="52" t="b">
        <f>IF(OR(INDEX(OHZ_HAZ_AMOUNT,132,1)&lt;&gt;"",),IF(OR(INDEX(OHZ_HAZ_NETGROSS,132,1)="",INDEX(OHZ_HAZ_UNIT,132,1)="",),FALSE,TRUE),TRUE)</f>
        <v>1</v>
      </c>
      <c r="K1139" s="52" t="str">
        <f t="shared" si="38"/>
        <v>Row 132 - For ‘Transport unit’ if ‘Amount’ is given then ‘Gross / Net’ and ‘Amount unit’ are required</v>
      </c>
      <c r="L1139" s="236" t="s">
        <v>1853</v>
      </c>
    </row>
    <row r="1140" spans="7:12">
      <c r="G1140" s="250" t="b">
        <f>IF(OR(INDEX(IHZ_HAZ_AMOUNT,133,1)&lt;&gt;"",),IF(OR(INDEX(IHZ_HAZ_NETGROSS,133,1)="",INDEX(IHZ_HAZ_UNIT,133,1)="",),FALSE,TRUE),TRUE)</f>
        <v>1</v>
      </c>
      <c r="H1140" s="52" t="str">
        <f t="shared" si="37"/>
        <v>Row 133 - For ‘Transport unit’ if ‘Amount’ is given then ‘Gross / Net’ and ‘Amount unit’ are required</v>
      </c>
      <c r="I1140" s="236" t="s">
        <v>1853</v>
      </c>
      <c r="J1140" s="52" t="b">
        <f>IF(OR(INDEX(OHZ_HAZ_AMOUNT,133,1)&lt;&gt;"",),IF(OR(INDEX(OHZ_HAZ_NETGROSS,133,1)="",INDEX(OHZ_HAZ_UNIT,133,1)="",),FALSE,TRUE),TRUE)</f>
        <v>1</v>
      </c>
      <c r="K1140" s="52" t="str">
        <f t="shared" si="38"/>
        <v>Row 133 - For ‘Transport unit’ if ‘Amount’ is given then ‘Gross / Net’ and ‘Amount unit’ are required</v>
      </c>
      <c r="L1140" s="236" t="s">
        <v>1853</v>
      </c>
    </row>
    <row r="1141" spans="7:12">
      <c r="G1141" s="250" t="b">
        <f>IF(OR(INDEX(IHZ_HAZ_AMOUNT,134,1)&lt;&gt;"",),IF(OR(INDEX(IHZ_HAZ_NETGROSS,134,1)="",INDEX(IHZ_HAZ_UNIT,134,1)="",),FALSE,TRUE),TRUE)</f>
        <v>1</v>
      </c>
      <c r="H1141" s="52" t="str">
        <f t="shared" si="37"/>
        <v>Row 134 - For ‘Transport unit’ if ‘Amount’ is given then ‘Gross / Net’ and ‘Amount unit’ are required</v>
      </c>
      <c r="I1141" s="236" t="s">
        <v>1853</v>
      </c>
      <c r="J1141" s="52" t="b">
        <f>IF(OR(INDEX(OHZ_HAZ_AMOUNT,134,1)&lt;&gt;"",),IF(OR(INDEX(OHZ_HAZ_NETGROSS,134,1)="",INDEX(OHZ_HAZ_UNIT,134,1)="",),FALSE,TRUE),TRUE)</f>
        <v>1</v>
      </c>
      <c r="K1141" s="52" t="str">
        <f t="shared" si="38"/>
        <v>Row 134 - For ‘Transport unit’ if ‘Amount’ is given then ‘Gross / Net’ and ‘Amount unit’ are required</v>
      </c>
      <c r="L1141" s="236" t="s">
        <v>1853</v>
      </c>
    </row>
    <row r="1142" spans="7:12">
      <c r="G1142" s="250" t="b">
        <f>IF(OR(INDEX(IHZ_HAZ_AMOUNT,135,1)&lt;&gt;"",),IF(OR(INDEX(IHZ_HAZ_NETGROSS,135,1)="",INDEX(IHZ_HAZ_UNIT,135,1)="",),FALSE,TRUE),TRUE)</f>
        <v>1</v>
      </c>
      <c r="H1142" s="52" t="str">
        <f t="shared" si="37"/>
        <v>Row 135 - For ‘Transport unit’ if ‘Amount’ is given then ‘Gross / Net’ and ‘Amount unit’ are required</v>
      </c>
      <c r="I1142" s="236" t="s">
        <v>1853</v>
      </c>
      <c r="J1142" s="52" t="b">
        <f>IF(OR(INDEX(OHZ_HAZ_AMOUNT,135,1)&lt;&gt;"",),IF(OR(INDEX(OHZ_HAZ_NETGROSS,135,1)="",INDEX(OHZ_HAZ_UNIT,135,1)="",),FALSE,TRUE),TRUE)</f>
        <v>1</v>
      </c>
      <c r="K1142" s="52" t="str">
        <f t="shared" si="38"/>
        <v>Row 135 - For ‘Transport unit’ if ‘Amount’ is given then ‘Gross / Net’ and ‘Amount unit’ are required</v>
      </c>
      <c r="L1142" s="236" t="s">
        <v>1853</v>
      </c>
    </row>
    <row r="1143" spans="7:12">
      <c r="G1143" s="250" t="b">
        <f>IF(OR(INDEX(IHZ_HAZ_AMOUNT,136,1)&lt;&gt;"",),IF(OR(INDEX(IHZ_HAZ_NETGROSS,136,1)="",INDEX(IHZ_HAZ_UNIT,136,1)="",),FALSE,TRUE),TRUE)</f>
        <v>1</v>
      </c>
      <c r="H1143" s="52" t="str">
        <f t="shared" si="37"/>
        <v>Row 136 - For ‘Transport unit’ if ‘Amount’ is given then ‘Gross / Net’ and ‘Amount unit’ are required</v>
      </c>
      <c r="I1143" s="236" t="s">
        <v>1853</v>
      </c>
      <c r="J1143" s="52" t="b">
        <f>IF(OR(INDEX(OHZ_HAZ_AMOUNT,136,1)&lt;&gt;"",),IF(OR(INDEX(OHZ_HAZ_NETGROSS,136,1)="",INDEX(OHZ_HAZ_UNIT,136,1)="",),FALSE,TRUE),TRUE)</f>
        <v>1</v>
      </c>
      <c r="K1143" s="52" t="str">
        <f t="shared" si="38"/>
        <v>Row 136 - For ‘Transport unit’ if ‘Amount’ is given then ‘Gross / Net’ and ‘Amount unit’ are required</v>
      </c>
      <c r="L1143" s="236" t="s">
        <v>1853</v>
      </c>
    </row>
    <row r="1144" spans="7:12">
      <c r="G1144" s="250" t="b">
        <f>IF(OR(INDEX(IHZ_HAZ_AMOUNT,137,1)&lt;&gt;"",),IF(OR(INDEX(IHZ_HAZ_NETGROSS,137,1)="",INDEX(IHZ_HAZ_UNIT,137,1)="",),FALSE,TRUE),TRUE)</f>
        <v>1</v>
      </c>
      <c r="H1144" s="52" t="str">
        <f t="shared" si="37"/>
        <v>Row 137 - For ‘Transport unit’ if ‘Amount’ is given then ‘Gross / Net’ and ‘Amount unit’ are required</v>
      </c>
      <c r="I1144" s="236" t="s">
        <v>1853</v>
      </c>
      <c r="J1144" s="52" t="b">
        <f>IF(OR(INDEX(OHZ_HAZ_AMOUNT,137,1)&lt;&gt;"",),IF(OR(INDEX(OHZ_HAZ_NETGROSS,137,1)="",INDEX(OHZ_HAZ_UNIT,137,1)="",),FALSE,TRUE),TRUE)</f>
        <v>1</v>
      </c>
      <c r="K1144" s="52" t="str">
        <f t="shared" si="38"/>
        <v>Row 137 - For ‘Transport unit’ if ‘Amount’ is given then ‘Gross / Net’ and ‘Amount unit’ are required</v>
      </c>
      <c r="L1144" s="236" t="s">
        <v>1853</v>
      </c>
    </row>
    <row r="1145" spans="7:12">
      <c r="G1145" s="250" t="b">
        <f>IF(OR(INDEX(IHZ_HAZ_AMOUNT,138,1)&lt;&gt;"",),IF(OR(INDEX(IHZ_HAZ_NETGROSS,138,1)="",INDEX(IHZ_HAZ_UNIT,138,1)="",),FALSE,TRUE),TRUE)</f>
        <v>1</v>
      </c>
      <c r="H1145" s="52" t="str">
        <f t="shared" si="37"/>
        <v>Row 138 - For ‘Transport unit’ if ‘Amount’ is given then ‘Gross / Net’ and ‘Amount unit’ are required</v>
      </c>
      <c r="I1145" s="236" t="s">
        <v>1853</v>
      </c>
      <c r="J1145" s="52" t="b">
        <f>IF(OR(INDEX(OHZ_HAZ_AMOUNT,138,1)&lt;&gt;"",),IF(OR(INDEX(OHZ_HAZ_NETGROSS,138,1)="",INDEX(OHZ_HAZ_UNIT,138,1)="",),FALSE,TRUE),TRUE)</f>
        <v>1</v>
      </c>
      <c r="K1145" s="52" t="str">
        <f t="shared" si="38"/>
        <v>Row 138 - For ‘Transport unit’ if ‘Amount’ is given then ‘Gross / Net’ and ‘Amount unit’ are required</v>
      </c>
      <c r="L1145" s="236" t="s">
        <v>1853</v>
      </c>
    </row>
    <row r="1146" spans="7:12">
      <c r="G1146" s="250" t="b">
        <f>IF(OR(INDEX(IHZ_HAZ_AMOUNT,139,1)&lt;&gt;"",),IF(OR(INDEX(IHZ_HAZ_NETGROSS,139,1)="",INDEX(IHZ_HAZ_UNIT,139,1)="",),FALSE,TRUE),TRUE)</f>
        <v>1</v>
      </c>
      <c r="H1146" s="52" t="str">
        <f t="shared" si="37"/>
        <v>Row 139 - For ‘Transport unit’ if ‘Amount’ is given then ‘Gross / Net’ and ‘Amount unit’ are required</v>
      </c>
      <c r="I1146" s="236" t="s">
        <v>1853</v>
      </c>
      <c r="J1146" s="52" t="b">
        <f>IF(OR(INDEX(OHZ_HAZ_AMOUNT,139,1)&lt;&gt;"",),IF(OR(INDEX(OHZ_HAZ_NETGROSS,139,1)="",INDEX(OHZ_HAZ_UNIT,139,1)="",),FALSE,TRUE),TRUE)</f>
        <v>1</v>
      </c>
      <c r="K1146" s="52" t="str">
        <f t="shared" si="38"/>
        <v>Row 139 - For ‘Transport unit’ if ‘Amount’ is given then ‘Gross / Net’ and ‘Amount unit’ are required</v>
      </c>
      <c r="L1146" s="236" t="s">
        <v>1853</v>
      </c>
    </row>
    <row r="1147" spans="7:12">
      <c r="G1147" s="250" t="b">
        <f>IF(OR(INDEX(IHZ_HAZ_AMOUNT,140,1)&lt;&gt;"",),IF(OR(INDEX(IHZ_HAZ_NETGROSS,140,1)="",INDEX(IHZ_HAZ_UNIT,140,1)="",),FALSE,TRUE),TRUE)</f>
        <v>1</v>
      </c>
      <c r="H1147" s="52" t="str">
        <f t="shared" si="37"/>
        <v>Row 140 - For ‘Transport unit’ if ‘Amount’ is given then ‘Gross / Net’ and ‘Amount unit’ are required</v>
      </c>
      <c r="I1147" s="236" t="s">
        <v>1853</v>
      </c>
      <c r="J1147" s="52" t="b">
        <f>IF(OR(INDEX(OHZ_HAZ_AMOUNT,140,1)&lt;&gt;"",),IF(OR(INDEX(OHZ_HAZ_NETGROSS,140,1)="",INDEX(OHZ_HAZ_UNIT,140,1)="",),FALSE,TRUE),TRUE)</f>
        <v>1</v>
      </c>
      <c r="K1147" s="52" t="str">
        <f t="shared" si="38"/>
        <v>Row 140 - For ‘Transport unit’ if ‘Amount’ is given then ‘Gross / Net’ and ‘Amount unit’ are required</v>
      </c>
      <c r="L1147" s="236" t="s">
        <v>1853</v>
      </c>
    </row>
    <row r="1148" spans="7:12">
      <c r="G1148" s="250" t="b">
        <f>IF(OR(INDEX(IHZ_HAZ_AMOUNT,141,1)&lt;&gt;"",),IF(OR(INDEX(IHZ_HAZ_NETGROSS,141,1)="",INDEX(IHZ_HAZ_UNIT,141,1)="",),FALSE,TRUE),TRUE)</f>
        <v>1</v>
      </c>
      <c r="H1148" s="52" t="str">
        <f t="shared" si="37"/>
        <v>Row 141 - For ‘Transport unit’ if ‘Amount’ is given then ‘Gross / Net’ and ‘Amount unit’ are required</v>
      </c>
      <c r="I1148" s="236" t="s">
        <v>1853</v>
      </c>
      <c r="J1148" s="52" t="b">
        <f>IF(OR(INDEX(OHZ_HAZ_AMOUNT,141,1)&lt;&gt;"",),IF(OR(INDEX(OHZ_HAZ_NETGROSS,141,1)="",INDEX(OHZ_HAZ_UNIT,141,1)="",),FALSE,TRUE),TRUE)</f>
        <v>1</v>
      </c>
      <c r="K1148" s="52" t="str">
        <f t="shared" si="38"/>
        <v>Row 141 - For ‘Transport unit’ if ‘Amount’ is given then ‘Gross / Net’ and ‘Amount unit’ are required</v>
      </c>
      <c r="L1148" s="236" t="s">
        <v>1853</v>
      </c>
    </row>
    <row r="1149" spans="7:12">
      <c r="G1149" s="250" t="b">
        <f>IF(OR(INDEX(IHZ_HAZ_AMOUNT,142,1)&lt;&gt;"",),IF(OR(INDEX(IHZ_HAZ_NETGROSS,142,1)="",INDEX(IHZ_HAZ_UNIT,142,1)="",),FALSE,TRUE),TRUE)</f>
        <v>1</v>
      </c>
      <c r="H1149" s="52" t="str">
        <f t="shared" si="37"/>
        <v>Row 142 - For ‘Transport unit’ if ‘Amount’ is given then ‘Gross / Net’ and ‘Amount unit’ are required</v>
      </c>
      <c r="I1149" s="236" t="s">
        <v>1853</v>
      </c>
      <c r="J1149" s="52" t="b">
        <f>IF(OR(INDEX(OHZ_HAZ_AMOUNT,142,1)&lt;&gt;"",),IF(OR(INDEX(OHZ_HAZ_NETGROSS,142,1)="",INDEX(OHZ_HAZ_UNIT,142,1)="",),FALSE,TRUE),TRUE)</f>
        <v>1</v>
      </c>
      <c r="K1149" s="52" t="str">
        <f t="shared" si="38"/>
        <v>Row 142 - For ‘Transport unit’ if ‘Amount’ is given then ‘Gross / Net’ and ‘Amount unit’ are required</v>
      </c>
      <c r="L1149" s="236" t="s">
        <v>1853</v>
      </c>
    </row>
    <row r="1150" spans="7:12">
      <c r="G1150" s="250" t="b">
        <f>IF(OR(INDEX(IHZ_HAZ_AMOUNT,143,1)&lt;&gt;"",),IF(OR(INDEX(IHZ_HAZ_NETGROSS,143,1)="",INDEX(IHZ_HAZ_UNIT,143,1)="",),FALSE,TRUE),TRUE)</f>
        <v>1</v>
      </c>
      <c r="H1150" s="52" t="str">
        <f t="shared" si="37"/>
        <v>Row 143 - For ‘Transport unit’ if ‘Amount’ is given then ‘Gross / Net’ and ‘Amount unit’ are required</v>
      </c>
      <c r="I1150" s="236" t="s">
        <v>1853</v>
      </c>
      <c r="J1150" s="52" t="b">
        <f>IF(OR(INDEX(OHZ_HAZ_AMOUNT,143,1)&lt;&gt;"",),IF(OR(INDEX(OHZ_HAZ_NETGROSS,143,1)="",INDEX(OHZ_HAZ_UNIT,143,1)="",),FALSE,TRUE),TRUE)</f>
        <v>1</v>
      </c>
      <c r="K1150" s="52" t="str">
        <f t="shared" si="38"/>
        <v>Row 143 - For ‘Transport unit’ if ‘Amount’ is given then ‘Gross / Net’ and ‘Amount unit’ are required</v>
      </c>
      <c r="L1150" s="236" t="s">
        <v>1853</v>
      </c>
    </row>
    <row r="1151" spans="7:12">
      <c r="G1151" s="250" t="b">
        <f>IF(OR(INDEX(IHZ_HAZ_AMOUNT,144,1)&lt;&gt;"",),IF(OR(INDEX(IHZ_HAZ_NETGROSS,144,1)="",INDEX(IHZ_HAZ_UNIT,144,1)="",),FALSE,TRUE),TRUE)</f>
        <v>1</v>
      </c>
      <c r="H1151" s="52" t="str">
        <f t="shared" si="37"/>
        <v>Row 144 - For ‘Transport unit’ if ‘Amount’ is given then ‘Gross / Net’ and ‘Amount unit’ are required</v>
      </c>
      <c r="I1151" s="236" t="s">
        <v>1853</v>
      </c>
      <c r="J1151" s="52" t="b">
        <f>IF(OR(INDEX(OHZ_HAZ_AMOUNT,144,1)&lt;&gt;"",),IF(OR(INDEX(OHZ_HAZ_NETGROSS,144,1)="",INDEX(OHZ_HAZ_UNIT,144,1)="",),FALSE,TRUE),TRUE)</f>
        <v>1</v>
      </c>
      <c r="K1151" s="52" t="str">
        <f t="shared" si="38"/>
        <v>Row 144 - For ‘Transport unit’ if ‘Amount’ is given then ‘Gross / Net’ and ‘Amount unit’ are required</v>
      </c>
      <c r="L1151" s="236" t="s">
        <v>1853</v>
      </c>
    </row>
    <row r="1152" spans="7:12">
      <c r="G1152" s="250" t="b">
        <f>IF(OR(INDEX(IHZ_HAZ_AMOUNT,145,1)&lt;&gt;"",),IF(OR(INDEX(IHZ_HAZ_NETGROSS,145,1)="",INDEX(IHZ_HAZ_UNIT,145,1)="",),FALSE,TRUE),TRUE)</f>
        <v>1</v>
      </c>
      <c r="H1152" s="52" t="str">
        <f t="shared" si="37"/>
        <v>Row 145 - For ‘Transport unit’ if ‘Amount’ is given then ‘Gross / Net’ and ‘Amount unit’ are required</v>
      </c>
      <c r="I1152" s="236" t="s">
        <v>1853</v>
      </c>
      <c r="J1152" s="52" t="b">
        <f>IF(OR(INDEX(OHZ_HAZ_AMOUNT,145,1)&lt;&gt;"",),IF(OR(INDEX(OHZ_HAZ_NETGROSS,145,1)="",INDEX(OHZ_HAZ_UNIT,145,1)="",),FALSE,TRUE),TRUE)</f>
        <v>1</v>
      </c>
      <c r="K1152" s="52" t="str">
        <f t="shared" si="38"/>
        <v>Row 145 - For ‘Transport unit’ if ‘Amount’ is given then ‘Gross / Net’ and ‘Amount unit’ are required</v>
      </c>
      <c r="L1152" s="236" t="s">
        <v>1853</v>
      </c>
    </row>
    <row r="1153" spans="7:12">
      <c r="G1153" s="250" t="b">
        <f>IF(OR(INDEX(IHZ_HAZ_AMOUNT,146,1)&lt;&gt;"",),IF(OR(INDEX(IHZ_HAZ_NETGROSS,146,1)="",INDEX(IHZ_HAZ_UNIT,146,1)="",),FALSE,TRUE),TRUE)</f>
        <v>1</v>
      </c>
      <c r="H1153" s="52" t="str">
        <f t="shared" si="37"/>
        <v>Row 146 - For ‘Transport unit’ if ‘Amount’ is given then ‘Gross / Net’ and ‘Amount unit’ are required</v>
      </c>
      <c r="I1153" s="236" t="s">
        <v>1853</v>
      </c>
      <c r="J1153" s="52" t="b">
        <f>IF(OR(INDEX(OHZ_HAZ_AMOUNT,146,1)&lt;&gt;"",),IF(OR(INDEX(OHZ_HAZ_NETGROSS,146,1)="",INDEX(OHZ_HAZ_UNIT,146,1)="",),FALSE,TRUE),TRUE)</f>
        <v>1</v>
      </c>
      <c r="K1153" s="52" t="str">
        <f t="shared" si="38"/>
        <v>Row 146 - For ‘Transport unit’ if ‘Amount’ is given then ‘Gross / Net’ and ‘Amount unit’ are required</v>
      </c>
      <c r="L1153" s="236" t="s">
        <v>1853</v>
      </c>
    </row>
    <row r="1154" spans="7:12">
      <c r="G1154" s="250" t="b">
        <f>IF(OR(INDEX(IHZ_HAZ_AMOUNT,147,1)&lt;&gt;"",),IF(OR(INDEX(IHZ_HAZ_NETGROSS,147,1)="",INDEX(IHZ_HAZ_UNIT,147,1)="",),FALSE,TRUE),TRUE)</f>
        <v>1</v>
      </c>
      <c r="H1154" s="52" t="str">
        <f t="shared" si="37"/>
        <v>Row 147 - For ‘Transport unit’ if ‘Amount’ is given then ‘Gross / Net’ and ‘Amount unit’ are required</v>
      </c>
      <c r="I1154" s="236" t="s">
        <v>1853</v>
      </c>
      <c r="J1154" s="52" t="b">
        <f>IF(OR(INDEX(OHZ_HAZ_AMOUNT,147,1)&lt;&gt;"",),IF(OR(INDEX(OHZ_HAZ_NETGROSS,147,1)="",INDEX(OHZ_HAZ_UNIT,147,1)="",),FALSE,TRUE),TRUE)</f>
        <v>1</v>
      </c>
      <c r="K1154" s="52" t="str">
        <f t="shared" si="38"/>
        <v>Row 147 - For ‘Transport unit’ if ‘Amount’ is given then ‘Gross / Net’ and ‘Amount unit’ are required</v>
      </c>
      <c r="L1154" s="236" t="s">
        <v>1853</v>
      </c>
    </row>
    <row r="1155" spans="7:12">
      <c r="G1155" s="250" t="b">
        <f>IF(OR(INDEX(IHZ_HAZ_AMOUNT,148,1)&lt;&gt;"",),IF(OR(INDEX(IHZ_HAZ_NETGROSS,148,1)="",INDEX(IHZ_HAZ_UNIT,148,1)="",),FALSE,TRUE),TRUE)</f>
        <v>1</v>
      </c>
      <c r="H1155" s="52" t="str">
        <f t="shared" si="37"/>
        <v>Row 148 - For ‘Transport unit’ if ‘Amount’ is given then ‘Gross / Net’ and ‘Amount unit’ are required</v>
      </c>
      <c r="I1155" s="236" t="s">
        <v>1853</v>
      </c>
      <c r="J1155" s="52" t="b">
        <f>IF(OR(INDEX(OHZ_HAZ_AMOUNT,148,1)&lt;&gt;"",),IF(OR(INDEX(OHZ_HAZ_NETGROSS,148,1)="",INDEX(OHZ_HAZ_UNIT,148,1)="",),FALSE,TRUE),TRUE)</f>
        <v>1</v>
      </c>
      <c r="K1155" s="52" t="str">
        <f t="shared" si="38"/>
        <v>Row 148 - For ‘Transport unit’ if ‘Amount’ is given then ‘Gross / Net’ and ‘Amount unit’ are required</v>
      </c>
      <c r="L1155" s="236" t="s">
        <v>1853</v>
      </c>
    </row>
    <row r="1156" spans="7:12">
      <c r="G1156" s="250" t="b">
        <f>IF(OR(INDEX(IHZ_HAZ_AMOUNT,149,1)&lt;&gt;"",),IF(OR(INDEX(IHZ_HAZ_NETGROSS,149,1)="",INDEX(IHZ_HAZ_UNIT,149,1)="",),FALSE,TRUE),TRUE)</f>
        <v>1</v>
      </c>
      <c r="H1156" s="52" t="str">
        <f t="shared" si="37"/>
        <v>Row 149 - For ‘Transport unit’ if ‘Amount’ is given then ‘Gross / Net’ and ‘Amount unit’ are required</v>
      </c>
      <c r="I1156" s="236" t="s">
        <v>1853</v>
      </c>
      <c r="J1156" s="52" t="b">
        <f>IF(OR(INDEX(OHZ_HAZ_AMOUNT,149,1)&lt;&gt;"",),IF(OR(INDEX(OHZ_HAZ_NETGROSS,149,1)="",INDEX(OHZ_HAZ_UNIT,149,1)="",),FALSE,TRUE),TRUE)</f>
        <v>1</v>
      </c>
      <c r="K1156" s="52" t="str">
        <f t="shared" si="38"/>
        <v>Row 149 - For ‘Transport unit’ if ‘Amount’ is given then ‘Gross / Net’ and ‘Amount unit’ are required</v>
      </c>
      <c r="L1156" s="236" t="s">
        <v>1853</v>
      </c>
    </row>
    <row r="1157" spans="7:12">
      <c r="G1157" s="250" t="b">
        <f>IF(OR(INDEX(IHZ_HAZ_AMOUNT,150,1)&lt;&gt;"",),IF(OR(INDEX(IHZ_HAZ_NETGROSS,150,1)="",INDEX(IHZ_HAZ_UNIT,150,1)="",),FALSE,TRUE),TRUE)</f>
        <v>1</v>
      </c>
      <c r="H1157" s="52" t="str">
        <f t="shared" si="37"/>
        <v>Row 150 - For ‘Transport unit’ if ‘Amount’ is given then ‘Gross / Net’ and ‘Amount unit’ are required</v>
      </c>
      <c r="I1157" s="236" t="s">
        <v>1853</v>
      </c>
      <c r="J1157" s="52" t="b">
        <f>IF(OR(INDEX(OHZ_HAZ_AMOUNT,150,1)&lt;&gt;"",),IF(OR(INDEX(OHZ_HAZ_NETGROSS,150,1)="",INDEX(OHZ_HAZ_UNIT,150,1)="",),FALSE,TRUE),TRUE)</f>
        <v>1</v>
      </c>
      <c r="K1157" s="52" t="str">
        <f t="shared" si="38"/>
        <v>Row 150 - For ‘Transport unit’ if ‘Amount’ is given then ‘Gross / Net’ and ‘Amount unit’ are required</v>
      </c>
      <c r="L1157" s="236" t="s">
        <v>1853</v>
      </c>
    </row>
    <row r="1158" spans="7:12">
      <c r="G1158" s="250" t="b">
        <f>IF(OR(INDEX(IHZ_HAZ_AMOUNT,151,1)&lt;&gt;"",),IF(OR(INDEX(IHZ_HAZ_NETGROSS,151,1)="",INDEX(IHZ_HAZ_UNIT,151,1)="",),FALSE,TRUE),TRUE)</f>
        <v>1</v>
      </c>
      <c r="H1158" s="52" t="str">
        <f t="shared" si="37"/>
        <v>Row 151 - For ‘Transport unit’ if ‘Amount’ is given then ‘Gross / Net’ and ‘Amount unit’ are required</v>
      </c>
      <c r="I1158" s="236" t="s">
        <v>1853</v>
      </c>
      <c r="J1158" s="52" t="b">
        <f>IF(OR(INDEX(OHZ_HAZ_AMOUNT,151,1)&lt;&gt;"",),IF(OR(INDEX(OHZ_HAZ_NETGROSS,151,1)="",INDEX(OHZ_HAZ_UNIT,151,1)="",),FALSE,TRUE),TRUE)</f>
        <v>1</v>
      </c>
      <c r="K1158" s="52" t="str">
        <f t="shared" si="38"/>
        <v>Row 151 - For ‘Transport unit’ if ‘Amount’ is given then ‘Gross / Net’ and ‘Amount unit’ are required</v>
      </c>
      <c r="L1158" s="236" t="s">
        <v>1853</v>
      </c>
    </row>
    <row r="1159" spans="7:12">
      <c r="G1159" s="250" t="b">
        <f>IF(OR(INDEX(IHZ_HAZ_AMOUNT,152,1)&lt;&gt;"",),IF(OR(INDEX(IHZ_HAZ_NETGROSS,152,1)="",INDEX(IHZ_HAZ_UNIT,152,1)="",),FALSE,TRUE),TRUE)</f>
        <v>1</v>
      </c>
      <c r="H1159" s="52" t="str">
        <f t="shared" si="37"/>
        <v>Row 152 - For ‘Transport unit’ if ‘Amount’ is given then ‘Gross / Net’ and ‘Amount unit’ are required</v>
      </c>
      <c r="I1159" s="236" t="s">
        <v>1853</v>
      </c>
      <c r="J1159" s="52" t="b">
        <f>IF(OR(INDEX(OHZ_HAZ_AMOUNT,152,1)&lt;&gt;"",),IF(OR(INDEX(OHZ_HAZ_NETGROSS,152,1)="",INDEX(OHZ_HAZ_UNIT,152,1)="",),FALSE,TRUE),TRUE)</f>
        <v>1</v>
      </c>
      <c r="K1159" s="52" t="str">
        <f t="shared" si="38"/>
        <v>Row 152 - For ‘Transport unit’ if ‘Amount’ is given then ‘Gross / Net’ and ‘Amount unit’ are required</v>
      </c>
      <c r="L1159" s="236" t="s">
        <v>1853</v>
      </c>
    </row>
    <row r="1160" spans="7:12">
      <c r="G1160" s="250" t="b">
        <f>IF(OR(INDEX(IHZ_HAZ_AMOUNT,153,1)&lt;&gt;"",),IF(OR(INDEX(IHZ_HAZ_NETGROSS,153,1)="",INDEX(IHZ_HAZ_UNIT,153,1)="",),FALSE,TRUE),TRUE)</f>
        <v>1</v>
      </c>
      <c r="H1160" s="52" t="str">
        <f t="shared" si="37"/>
        <v>Row 153 - For ‘Transport unit’ if ‘Amount’ is given then ‘Gross / Net’ and ‘Amount unit’ are required</v>
      </c>
      <c r="I1160" s="236" t="s">
        <v>1853</v>
      </c>
      <c r="J1160" s="52" t="b">
        <f>IF(OR(INDEX(OHZ_HAZ_AMOUNT,153,1)&lt;&gt;"",),IF(OR(INDEX(OHZ_HAZ_NETGROSS,153,1)="",INDEX(OHZ_HAZ_UNIT,153,1)="",),FALSE,TRUE),TRUE)</f>
        <v>1</v>
      </c>
      <c r="K1160" s="52" t="str">
        <f t="shared" si="38"/>
        <v>Row 153 - For ‘Transport unit’ if ‘Amount’ is given then ‘Gross / Net’ and ‘Amount unit’ are required</v>
      </c>
      <c r="L1160" s="236" t="s">
        <v>1853</v>
      </c>
    </row>
    <row r="1161" spans="7:12">
      <c r="G1161" s="250" t="b">
        <f>IF(OR(INDEX(IHZ_HAZ_AMOUNT,154,1)&lt;&gt;"",),IF(OR(INDEX(IHZ_HAZ_NETGROSS,154,1)="",INDEX(IHZ_HAZ_UNIT,154,1)="",),FALSE,TRUE),TRUE)</f>
        <v>1</v>
      </c>
      <c r="H1161" s="52" t="str">
        <f t="shared" si="37"/>
        <v>Row 154 - For ‘Transport unit’ if ‘Amount’ is given then ‘Gross / Net’ and ‘Amount unit’ are required</v>
      </c>
      <c r="I1161" s="236" t="s">
        <v>1853</v>
      </c>
      <c r="J1161" s="52" t="b">
        <f>IF(OR(INDEX(OHZ_HAZ_AMOUNT,154,1)&lt;&gt;"",),IF(OR(INDEX(OHZ_HAZ_NETGROSS,154,1)="",INDEX(OHZ_HAZ_UNIT,154,1)="",),FALSE,TRUE),TRUE)</f>
        <v>1</v>
      </c>
      <c r="K1161" s="52" t="str">
        <f t="shared" si="38"/>
        <v>Row 154 - For ‘Transport unit’ if ‘Amount’ is given then ‘Gross / Net’ and ‘Amount unit’ are required</v>
      </c>
      <c r="L1161" s="236" t="s">
        <v>1853</v>
      </c>
    </row>
    <row r="1162" spans="7:12">
      <c r="G1162" s="250" t="b">
        <f>IF(OR(INDEX(IHZ_HAZ_AMOUNT,155,1)&lt;&gt;"",),IF(OR(INDEX(IHZ_HAZ_NETGROSS,155,1)="",INDEX(IHZ_HAZ_UNIT,155,1)="",),FALSE,TRUE),TRUE)</f>
        <v>1</v>
      </c>
      <c r="H1162" s="52" t="str">
        <f t="shared" si="37"/>
        <v>Row 155 - For ‘Transport unit’ if ‘Amount’ is given then ‘Gross / Net’ and ‘Amount unit’ are required</v>
      </c>
      <c r="I1162" s="236" t="s">
        <v>1853</v>
      </c>
      <c r="J1162" s="52" t="b">
        <f>IF(OR(INDEX(OHZ_HAZ_AMOUNT,155,1)&lt;&gt;"",),IF(OR(INDEX(OHZ_HAZ_NETGROSS,155,1)="",INDEX(OHZ_HAZ_UNIT,155,1)="",),FALSE,TRUE),TRUE)</f>
        <v>1</v>
      </c>
      <c r="K1162" s="52" t="str">
        <f t="shared" si="38"/>
        <v>Row 155 - For ‘Transport unit’ if ‘Amount’ is given then ‘Gross / Net’ and ‘Amount unit’ are required</v>
      </c>
      <c r="L1162" s="236" t="s">
        <v>1853</v>
      </c>
    </row>
    <row r="1163" spans="7:12">
      <c r="G1163" s="250" t="b">
        <f>IF(OR(INDEX(IHZ_HAZ_AMOUNT,156,1)&lt;&gt;"",),IF(OR(INDEX(IHZ_HAZ_NETGROSS,156,1)="",INDEX(IHZ_HAZ_UNIT,156,1)="",),FALSE,TRUE),TRUE)</f>
        <v>1</v>
      </c>
      <c r="H1163" s="52" t="str">
        <f t="shared" si="37"/>
        <v>Row 156 - For ‘Transport unit’ if ‘Amount’ is given then ‘Gross / Net’ and ‘Amount unit’ are required</v>
      </c>
      <c r="I1163" s="236" t="s">
        <v>1853</v>
      </c>
      <c r="J1163" s="52" t="b">
        <f>IF(OR(INDEX(OHZ_HAZ_AMOUNT,156,1)&lt;&gt;"",),IF(OR(INDEX(OHZ_HAZ_NETGROSS,156,1)="",INDEX(OHZ_HAZ_UNIT,156,1)="",),FALSE,TRUE),TRUE)</f>
        <v>1</v>
      </c>
      <c r="K1163" s="52" t="str">
        <f t="shared" si="38"/>
        <v>Row 156 - For ‘Transport unit’ if ‘Amount’ is given then ‘Gross / Net’ and ‘Amount unit’ are required</v>
      </c>
      <c r="L1163" s="236" t="s">
        <v>1853</v>
      </c>
    </row>
    <row r="1164" spans="7:12">
      <c r="G1164" s="250" t="b">
        <f>IF(OR(INDEX(IHZ_HAZ_AMOUNT,157,1)&lt;&gt;"",),IF(OR(INDEX(IHZ_HAZ_NETGROSS,157,1)="",INDEX(IHZ_HAZ_UNIT,157,1)="",),FALSE,TRUE),TRUE)</f>
        <v>1</v>
      </c>
      <c r="H1164" s="52" t="str">
        <f t="shared" si="37"/>
        <v>Row 157 - For ‘Transport unit’ if ‘Amount’ is given then ‘Gross / Net’ and ‘Amount unit’ are required</v>
      </c>
      <c r="I1164" s="236" t="s">
        <v>1853</v>
      </c>
      <c r="J1164" s="52" t="b">
        <f>IF(OR(INDEX(OHZ_HAZ_AMOUNT,157,1)&lt;&gt;"",),IF(OR(INDEX(OHZ_HAZ_NETGROSS,157,1)="",INDEX(OHZ_HAZ_UNIT,157,1)="",),FALSE,TRUE),TRUE)</f>
        <v>1</v>
      </c>
      <c r="K1164" s="52" t="str">
        <f t="shared" si="38"/>
        <v>Row 157 - For ‘Transport unit’ if ‘Amount’ is given then ‘Gross / Net’ and ‘Amount unit’ are required</v>
      </c>
      <c r="L1164" s="236" t="s">
        <v>1853</v>
      </c>
    </row>
    <row r="1165" spans="7:12">
      <c r="G1165" s="250" t="b">
        <f>IF(OR(INDEX(IHZ_HAZ_AMOUNT,158,1)&lt;&gt;"",),IF(OR(INDEX(IHZ_HAZ_NETGROSS,158,1)="",INDEX(IHZ_HAZ_UNIT,158,1)="",),FALSE,TRUE),TRUE)</f>
        <v>1</v>
      </c>
      <c r="H1165" s="52" t="str">
        <f t="shared" si="37"/>
        <v>Row 158 - For ‘Transport unit’ if ‘Amount’ is given then ‘Gross / Net’ and ‘Amount unit’ are required</v>
      </c>
      <c r="I1165" s="236" t="s">
        <v>1853</v>
      </c>
      <c r="J1165" s="52" t="b">
        <f>IF(OR(INDEX(OHZ_HAZ_AMOUNT,158,1)&lt;&gt;"",),IF(OR(INDEX(OHZ_HAZ_NETGROSS,158,1)="",INDEX(OHZ_HAZ_UNIT,158,1)="",),FALSE,TRUE),TRUE)</f>
        <v>1</v>
      </c>
      <c r="K1165" s="52" t="str">
        <f t="shared" si="38"/>
        <v>Row 158 - For ‘Transport unit’ if ‘Amount’ is given then ‘Gross / Net’ and ‘Amount unit’ are required</v>
      </c>
      <c r="L1165" s="236" t="s">
        <v>1853</v>
      </c>
    </row>
    <row r="1166" spans="7:12">
      <c r="G1166" s="250" t="b">
        <f>IF(OR(INDEX(IHZ_HAZ_AMOUNT,159,1)&lt;&gt;"",),IF(OR(INDEX(IHZ_HAZ_NETGROSS,159,1)="",INDEX(IHZ_HAZ_UNIT,159,1)="",),FALSE,TRUE),TRUE)</f>
        <v>1</v>
      </c>
      <c r="H1166" s="52" t="str">
        <f t="shared" si="37"/>
        <v>Row 159 - For ‘Transport unit’ if ‘Amount’ is given then ‘Gross / Net’ and ‘Amount unit’ are required</v>
      </c>
      <c r="I1166" s="236" t="s">
        <v>1853</v>
      </c>
      <c r="J1166" s="52" t="b">
        <f>IF(OR(INDEX(OHZ_HAZ_AMOUNT,159,1)&lt;&gt;"",),IF(OR(INDEX(OHZ_HAZ_NETGROSS,159,1)="",INDEX(OHZ_HAZ_UNIT,159,1)="",),FALSE,TRUE),TRUE)</f>
        <v>1</v>
      </c>
      <c r="K1166" s="52" t="str">
        <f t="shared" si="38"/>
        <v>Row 159 - For ‘Transport unit’ if ‘Amount’ is given then ‘Gross / Net’ and ‘Amount unit’ are required</v>
      </c>
      <c r="L1166" s="236" t="s">
        <v>1853</v>
      </c>
    </row>
    <row r="1167" spans="7:12">
      <c r="G1167" s="250" t="b">
        <f>IF(OR(INDEX(IHZ_HAZ_AMOUNT,160,1)&lt;&gt;"",),IF(OR(INDEX(IHZ_HAZ_NETGROSS,160,1)="",INDEX(IHZ_HAZ_UNIT,160,1)="",),FALSE,TRUE),TRUE)</f>
        <v>1</v>
      </c>
      <c r="H1167" s="52" t="str">
        <f t="shared" si="37"/>
        <v>Row 160 - For ‘Transport unit’ if ‘Amount’ is given then ‘Gross / Net’ and ‘Amount unit’ are required</v>
      </c>
      <c r="I1167" s="236" t="s">
        <v>1853</v>
      </c>
      <c r="J1167" s="52" t="b">
        <f>IF(OR(INDEX(OHZ_HAZ_AMOUNT,160,1)&lt;&gt;"",),IF(OR(INDEX(OHZ_HAZ_NETGROSS,160,1)="",INDEX(OHZ_HAZ_UNIT,160,1)="",),FALSE,TRUE),TRUE)</f>
        <v>1</v>
      </c>
      <c r="K1167" s="52" t="str">
        <f t="shared" si="38"/>
        <v>Row 160 - For ‘Transport unit’ if ‘Amount’ is given then ‘Gross / Net’ and ‘Amount unit’ are required</v>
      </c>
      <c r="L1167" s="236" t="s">
        <v>1853</v>
      </c>
    </row>
    <row r="1168" spans="7:12">
      <c r="G1168" s="250" t="b">
        <f>IF(OR(INDEX(IHZ_HAZ_AMOUNT,161,1)&lt;&gt;"",),IF(OR(INDEX(IHZ_HAZ_NETGROSS,161,1)="",INDEX(IHZ_HAZ_UNIT,161,1)="",),FALSE,TRUE),TRUE)</f>
        <v>1</v>
      </c>
      <c r="H1168" s="52" t="str">
        <f t="shared" si="37"/>
        <v>Row 161 - For ‘Transport unit’ if ‘Amount’ is given then ‘Gross / Net’ and ‘Amount unit’ are required</v>
      </c>
      <c r="I1168" s="236" t="s">
        <v>1853</v>
      </c>
      <c r="J1168" s="52" t="b">
        <f>IF(OR(INDEX(OHZ_HAZ_AMOUNT,161,1)&lt;&gt;"",),IF(OR(INDEX(OHZ_HAZ_NETGROSS,161,1)="",INDEX(OHZ_HAZ_UNIT,161,1)="",),FALSE,TRUE),TRUE)</f>
        <v>1</v>
      </c>
      <c r="K1168" s="52" t="str">
        <f t="shared" si="38"/>
        <v>Row 161 - For ‘Transport unit’ if ‘Amount’ is given then ‘Gross / Net’ and ‘Amount unit’ are required</v>
      </c>
      <c r="L1168" s="236" t="s">
        <v>1853</v>
      </c>
    </row>
    <row r="1169" spans="7:12">
      <c r="G1169" s="250" t="b">
        <f>IF(OR(INDEX(IHZ_HAZ_AMOUNT,162,1)&lt;&gt;"",),IF(OR(INDEX(IHZ_HAZ_NETGROSS,162,1)="",INDEX(IHZ_HAZ_UNIT,162,1)="",),FALSE,TRUE),TRUE)</f>
        <v>1</v>
      </c>
      <c r="H1169" s="52" t="str">
        <f t="shared" si="37"/>
        <v>Row 162 - For ‘Transport unit’ if ‘Amount’ is given then ‘Gross / Net’ and ‘Amount unit’ are required</v>
      </c>
      <c r="I1169" s="236" t="s">
        <v>1853</v>
      </c>
      <c r="J1169" s="52" t="b">
        <f>IF(OR(INDEX(OHZ_HAZ_AMOUNT,162,1)&lt;&gt;"",),IF(OR(INDEX(OHZ_HAZ_NETGROSS,162,1)="",INDEX(OHZ_HAZ_UNIT,162,1)="",),FALSE,TRUE),TRUE)</f>
        <v>1</v>
      </c>
      <c r="K1169" s="52" t="str">
        <f t="shared" si="38"/>
        <v>Row 162 - For ‘Transport unit’ if ‘Amount’ is given then ‘Gross / Net’ and ‘Amount unit’ are required</v>
      </c>
      <c r="L1169" s="236" t="s">
        <v>1853</v>
      </c>
    </row>
    <row r="1170" spans="7:12">
      <c r="G1170" s="250" t="b">
        <f>IF(OR(INDEX(IHZ_HAZ_AMOUNT,163,1)&lt;&gt;"",),IF(OR(INDEX(IHZ_HAZ_NETGROSS,163,1)="",INDEX(IHZ_HAZ_UNIT,163,1)="",),FALSE,TRUE),TRUE)</f>
        <v>1</v>
      </c>
      <c r="H1170" s="52" t="str">
        <f t="shared" si="37"/>
        <v>Row 163 - For ‘Transport unit’ if ‘Amount’ is given then ‘Gross / Net’ and ‘Amount unit’ are required</v>
      </c>
      <c r="I1170" s="236" t="s">
        <v>1853</v>
      </c>
      <c r="J1170" s="52" t="b">
        <f>IF(OR(INDEX(OHZ_HAZ_AMOUNT,163,1)&lt;&gt;"",),IF(OR(INDEX(OHZ_HAZ_NETGROSS,163,1)="",INDEX(OHZ_HAZ_UNIT,163,1)="",),FALSE,TRUE),TRUE)</f>
        <v>1</v>
      </c>
      <c r="K1170" s="52" t="str">
        <f t="shared" si="38"/>
        <v>Row 163 - For ‘Transport unit’ if ‘Amount’ is given then ‘Gross / Net’ and ‘Amount unit’ are required</v>
      </c>
      <c r="L1170" s="236" t="s">
        <v>1853</v>
      </c>
    </row>
    <row r="1171" spans="7:12">
      <c r="G1171" s="250" t="b">
        <f>IF(OR(INDEX(IHZ_HAZ_AMOUNT,164,1)&lt;&gt;"",),IF(OR(INDEX(IHZ_HAZ_NETGROSS,164,1)="",INDEX(IHZ_HAZ_UNIT,164,1)="",),FALSE,TRUE),TRUE)</f>
        <v>1</v>
      </c>
      <c r="H1171" s="52" t="str">
        <f t="shared" si="37"/>
        <v>Row 164 - For ‘Transport unit’ if ‘Amount’ is given then ‘Gross / Net’ and ‘Amount unit’ are required</v>
      </c>
      <c r="I1171" s="236" t="s">
        <v>1853</v>
      </c>
      <c r="J1171" s="52" t="b">
        <f>IF(OR(INDEX(OHZ_HAZ_AMOUNT,164,1)&lt;&gt;"",),IF(OR(INDEX(OHZ_HAZ_NETGROSS,164,1)="",INDEX(OHZ_HAZ_UNIT,164,1)="",),FALSE,TRUE),TRUE)</f>
        <v>1</v>
      </c>
      <c r="K1171" s="52" t="str">
        <f t="shared" si="38"/>
        <v>Row 164 - For ‘Transport unit’ if ‘Amount’ is given then ‘Gross / Net’ and ‘Amount unit’ are required</v>
      </c>
      <c r="L1171" s="236" t="s">
        <v>1853</v>
      </c>
    </row>
    <row r="1172" spans="7:12">
      <c r="G1172" s="250" t="b">
        <f>IF(OR(INDEX(IHZ_HAZ_AMOUNT,165,1)&lt;&gt;"",),IF(OR(INDEX(IHZ_HAZ_NETGROSS,165,1)="",INDEX(IHZ_HAZ_UNIT,165,1)="",),FALSE,TRUE),TRUE)</f>
        <v>1</v>
      </c>
      <c r="H1172" s="52" t="str">
        <f t="shared" si="37"/>
        <v>Row 165 - For ‘Transport unit’ if ‘Amount’ is given then ‘Gross / Net’ and ‘Amount unit’ are required</v>
      </c>
      <c r="I1172" s="236" t="s">
        <v>1853</v>
      </c>
      <c r="J1172" s="52" t="b">
        <f>IF(OR(INDEX(OHZ_HAZ_AMOUNT,165,1)&lt;&gt;"",),IF(OR(INDEX(OHZ_HAZ_NETGROSS,165,1)="",INDEX(OHZ_HAZ_UNIT,165,1)="",),FALSE,TRUE),TRUE)</f>
        <v>1</v>
      </c>
      <c r="K1172" s="52" t="str">
        <f t="shared" si="38"/>
        <v>Row 165 - For ‘Transport unit’ if ‘Amount’ is given then ‘Gross / Net’ and ‘Amount unit’ are required</v>
      </c>
      <c r="L1172" s="236" t="s">
        <v>1853</v>
      </c>
    </row>
    <row r="1173" spans="7:12">
      <c r="G1173" s="250" t="b">
        <f>IF(OR(INDEX(IHZ_HAZ_AMOUNT,166,1)&lt;&gt;"",),IF(OR(INDEX(IHZ_HAZ_NETGROSS,166,1)="",INDEX(IHZ_HAZ_UNIT,166,1)="",),FALSE,TRUE),TRUE)</f>
        <v>1</v>
      </c>
      <c r="H1173" s="52" t="str">
        <f t="shared" si="37"/>
        <v>Row 166 - For ‘Transport unit’ if ‘Amount’ is given then ‘Gross / Net’ and ‘Amount unit’ are required</v>
      </c>
      <c r="I1173" s="236" t="s">
        <v>1853</v>
      </c>
      <c r="J1173" s="52" t="b">
        <f>IF(OR(INDEX(OHZ_HAZ_AMOUNT,166,1)&lt;&gt;"",),IF(OR(INDEX(OHZ_HAZ_NETGROSS,166,1)="",INDEX(OHZ_HAZ_UNIT,166,1)="",),FALSE,TRUE),TRUE)</f>
        <v>1</v>
      </c>
      <c r="K1173" s="52" t="str">
        <f t="shared" si="38"/>
        <v>Row 166 - For ‘Transport unit’ if ‘Amount’ is given then ‘Gross / Net’ and ‘Amount unit’ are required</v>
      </c>
      <c r="L1173" s="236" t="s">
        <v>1853</v>
      </c>
    </row>
    <row r="1174" spans="7:12">
      <c r="G1174" s="250" t="b">
        <f>IF(OR(INDEX(IHZ_HAZ_AMOUNT,167,1)&lt;&gt;"",),IF(OR(INDEX(IHZ_HAZ_NETGROSS,167,1)="",INDEX(IHZ_HAZ_UNIT,167,1)="",),FALSE,TRUE),TRUE)</f>
        <v>1</v>
      </c>
      <c r="H1174" s="52" t="str">
        <f t="shared" si="37"/>
        <v>Row 167 - For ‘Transport unit’ if ‘Amount’ is given then ‘Gross / Net’ and ‘Amount unit’ are required</v>
      </c>
      <c r="I1174" s="236" t="s">
        <v>1853</v>
      </c>
      <c r="J1174" s="52" t="b">
        <f>IF(OR(INDEX(OHZ_HAZ_AMOUNT,167,1)&lt;&gt;"",),IF(OR(INDEX(OHZ_HAZ_NETGROSS,167,1)="",INDEX(OHZ_HAZ_UNIT,167,1)="",),FALSE,TRUE),TRUE)</f>
        <v>1</v>
      </c>
      <c r="K1174" s="52" t="str">
        <f t="shared" si="38"/>
        <v>Row 167 - For ‘Transport unit’ if ‘Amount’ is given then ‘Gross / Net’ and ‘Amount unit’ are required</v>
      </c>
      <c r="L1174" s="236" t="s">
        <v>1853</v>
      </c>
    </row>
    <row r="1175" spans="7:12">
      <c r="G1175" s="250" t="b">
        <f>IF(OR(INDEX(IHZ_HAZ_AMOUNT,168,1)&lt;&gt;"",),IF(OR(INDEX(IHZ_HAZ_NETGROSS,168,1)="",INDEX(IHZ_HAZ_UNIT,168,1)="",),FALSE,TRUE),TRUE)</f>
        <v>1</v>
      </c>
      <c r="H1175" s="52" t="str">
        <f t="shared" si="37"/>
        <v>Row 168 - For ‘Transport unit’ if ‘Amount’ is given then ‘Gross / Net’ and ‘Amount unit’ are required</v>
      </c>
      <c r="I1175" s="236" t="s">
        <v>1853</v>
      </c>
      <c r="J1175" s="52" t="b">
        <f>IF(OR(INDEX(OHZ_HAZ_AMOUNT,168,1)&lt;&gt;"",),IF(OR(INDEX(OHZ_HAZ_NETGROSS,168,1)="",INDEX(OHZ_HAZ_UNIT,168,1)="",),FALSE,TRUE),TRUE)</f>
        <v>1</v>
      </c>
      <c r="K1175" s="52" t="str">
        <f t="shared" si="38"/>
        <v>Row 168 - For ‘Transport unit’ if ‘Amount’ is given then ‘Gross / Net’ and ‘Amount unit’ are required</v>
      </c>
      <c r="L1175" s="236" t="s">
        <v>1853</v>
      </c>
    </row>
    <row r="1176" spans="7:12">
      <c r="G1176" s="250" t="b">
        <f>IF(OR(INDEX(IHZ_HAZ_AMOUNT,169,1)&lt;&gt;"",),IF(OR(INDEX(IHZ_HAZ_NETGROSS,169,1)="",INDEX(IHZ_HAZ_UNIT,169,1)="",),FALSE,TRUE),TRUE)</f>
        <v>1</v>
      </c>
      <c r="H1176" s="52" t="str">
        <f t="shared" si="37"/>
        <v>Row 169 - For ‘Transport unit’ if ‘Amount’ is given then ‘Gross / Net’ and ‘Amount unit’ are required</v>
      </c>
      <c r="I1176" s="236" t="s">
        <v>1853</v>
      </c>
      <c r="J1176" s="52" t="b">
        <f>IF(OR(INDEX(OHZ_HAZ_AMOUNT,169,1)&lt;&gt;"",),IF(OR(INDEX(OHZ_HAZ_NETGROSS,169,1)="",INDEX(OHZ_HAZ_UNIT,169,1)="",),FALSE,TRUE),TRUE)</f>
        <v>1</v>
      </c>
      <c r="K1176" s="52" t="str">
        <f t="shared" si="38"/>
        <v>Row 169 - For ‘Transport unit’ if ‘Amount’ is given then ‘Gross / Net’ and ‘Amount unit’ are required</v>
      </c>
      <c r="L1176" s="236" t="s">
        <v>1853</v>
      </c>
    </row>
    <row r="1177" spans="7:12">
      <c r="G1177" s="250" t="b">
        <f>IF(OR(INDEX(IHZ_HAZ_AMOUNT,170,1)&lt;&gt;"",),IF(OR(INDEX(IHZ_HAZ_NETGROSS,170,1)="",INDEX(IHZ_HAZ_UNIT,170,1)="",),FALSE,TRUE),TRUE)</f>
        <v>1</v>
      </c>
      <c r="H1177" s="52" t="str">
        <f t="shared" si="37"/>
        <v>Row 170 - For ‘Transport unit’ if ‘Amount’ is given then ‘Gross / Net’ and ‘Amount unit’ are required</v>
      </c>
      <c r="I1177" s="236" t="s">
        <v>1853</v>
      </c>
      <c r="J1177" s="52" t="b">
        <f>IF(OR(INDEX(OHZ_HAZ_AMOUNT,170,1)&lt;&gt;"",),IF(OR(INDEX(OHZ_HAZ_NETGROSS,170,1)="",INDEX(OHZ_HAZ_UNIT,170,1)="",),FALSE,TRUE),TRUE)</f>
        <v>1</v>
      </c>
      <c r="K1177" s="52" t="str">
        <f t="shared" si="38"/>
        <v>Row 170 - For ‘Transport unit’ if ‘Amount’ is given then ‘Gross / Net’ and ‘Amount unit’ are required</v>
      </c>
      <c r="L1177" s="236" t="s">
        <v>1853</v>
      </c>
    </row>
    <row r="1178" spans="7:12">
      <c r="G1178" s="250" t="b">
        <f>IF(OR(INDEX(IHZ_HAZ_AMOUNT,171,1)&lt;&gt;"",),IF(OR(INDEX(IHZ_HAZ_NETGROSS,171,1)="",INDEX(IHZ_HAZ_UNIT,171,1)="",),FALSE,TRUE),TRUE)</f>
        <v>1</v>
      </c>
      <c r="H1178" s="52" t="str">
        <f t="shared" si="37"/>
        <v>Row 171 - For ‘Transport unit’ if ‘Amount’ is given then ‘Gross / Net’ and ‘Amount unit’ are required</v>
      </c>
      <c r="I1178" s="236" t="s">
        <v>1853</v>
      </c>
      <c r="J1178" s="52" t="b">
        <f>IF(OR(INDEX(OHZ_HAZ_AMOUNT,171,1)&lt;&gt;"",),IF(OR(INDEX(OHZ_HAZ_NETGROSS,171,1)="",INDEX(OHZ_HAZ_UNIT,171,1)="",),FALSE,TRUE),TRUE)</f>
        <v>1</v>
      </c>
      <c r="K1178" s="52" t="str">
        <f t="shared" si="38"/>
        <v>Row 171 - For ‘Transport unit’ if ‘Amount’ is given then ‘Gross / Net’ and ‘Amount unit’ are required</v>
      </c>
      <c r="L1178" s="236" t="s">
        <v>1853</v>
      </c>
    </row>
    <row r="1179" spans="7:12">
      <c r="G1179" s="250" t="b">
        <f>IF(OR(INDEX(IHZ_HAZ_AMOUNT,172,1)&lt;&gt;"",),IF(OR(INDEX(IHZ_HAZ_NETGROSS,172,1)="",INDEX(IHZ_HAZ_UNIT,172,1)="",),FALSE,TRUE),TRUE)</f>
        <v>1</v>
      </c>
      <c r="H1179" s="52" t="str">
        <f t="shared" si="37"/>
        <v>Row 172 - For ‘Transport unit’ if ‘Amount’ is given then ‘Gross / Net’ and ‘Amount unit’ are required</v>
      </c>
      <c r="I1179" s="236" t="s">
        <v>1853</v>
      </c>
      <c r="J1179" s="52" t="b">
        <f>IF(OR(INDEX(OHZ_HAZ_AMOUNT,172,1)&lt;&gt;"",),IF(OR(INDEX(OHZ_HAZ_NETGROSS,172,1)="",INDEX(OHZ_HAZ_UNIT,172,1)="",),FALSE,TRUE),TRUE)</f>
        <v>1</v>
      </c>
      <c r="K1179" s="52" t="str">
        <f t="shared" si="38"/>
        <v>Row 172 - For ‘Transport unit’ if ‘Amount’ is given then ‘Gross / Net’ and ‘Amount unit’ are required</v>
      </c>
      <c r="L1179" s="236" t="s">
        <v>1853</v>
      </c>
    </row>
    <row r="1180" spans="7:12">
      <c r="G1180" s="250" t="b">
        <f>IF(OR(INDEX(IHZ_HAZ_AMOUNT,173,1)&lt;&gt;"",),IF(OR(INDEX(IHZ_HAZ_NETGROSS,173,1)="",INDEX(IHZ_HAZ_UNIT,173,1)="",),FALSE,TRUE),TRUE)</f>
        <v>1</v>
      </c>
      <c r="H1180" s="52" t="str">
        <f t="shared" si="37"/>
        <v>Row 173 - For ‘Transport unit’ if ‘Amount’ is given then ‘Gross / Net’ and ‘Amount unit’ are required</v>
      </c>
      <c r="I1180" s="236" t="s">
        <v>1853</v>
      </c>
      <c r="J1180" s="52" t="b">
        <f>IF(OR(INDEX(OHZ_HAZ_AMOUNT,173,1)&lt;&gt;"",),IF(OR(INDEX(OHZ_HAZ_NETGROSS,173,1)="",INDEX(OHZ_HAZ_UNIT,173,1)="",),FALSE,TRUE),TRUE)</f>
        <v>1</v>
      </c>
      <c r="K1180" s="52" t="str">
        <f t="shared" si="38"/>
        <v>Row 173 - For ‘Transport unit’ if ‘Amount’ is given then ‘Gross / Net’ and ‘Amount unit’ are required</v>
      </c>
      <c r="L1180" s="236" t="s">
        <v>1853</v>
      </c>
    </row>
    <row r="1181" spans="7:12">
      <c r="G1181" s="250" t="b">
        <f>IF(OR(INDEX(IHZ_HAZ_AMOUNT,174,1)&lt;&gt;"",),IF(OR(INDEX(IHZ_HAZ_NETGROSS,174,1)="",INDEX(IHZ_HAZ_UNIT,174,1)="",),FALSE,TRUE),TRUE)</f>
        <v>1</v>
      </c>
      <c r="H1181" s="52" t="str">
        <f t="shared" si="37"/>
        <v>Row 174 - For ‘Transport unit’ if ‘Amount’ is given then ‘Gross / Net’ and ‘Amount unit’ are required</v>
      </c>
      <c r="I1181" s="236" t="s">
        <v>1853</v>
      </c>
      <c r="J1181" s="52" t="b">
        <f>IF(OR(INDEX(OHZ_HAZ_AMOUNT,174,1)&lt;&gt;"",),IF(OR(INDEX(OHZ_HAZ_NETGROSS,174,1)="",INDEX(OHZ_HAZ_UNIT,174,1)="",),FALSE,TRUE),TRUE)</f>
        <v>1</v>
      </c>
      <c r="K1181" s="52" t="str">
        <f t="shared" si="38"/>
        <v>Row 174 - For ‘Transport unit’ if ‘Amount’ is given then ‘Gross / Net’ and ‘Amount unit’ are required</v>
      </c>
      <c r="L1181" s="236" t="s">
        <v>1853</v>
      </c>
    </row>
    <row r="1182" spans="7:12">
      <c r="G1182" s="250" t="b">
        <f>IF(OR(INDEX(IHZ_HAZ_AMOUNT,175,1)&lt;&gt;"",),IF(OR(INDEX(IHZ_HAZ_NETGROSS,175,1)="",INDEX(IHZ_HAZ_UNIT,175,1)="",),FALSE,TRUE),TRUE)</f>
        <v>1</v>
      </c>
      <c r="H1182" s="52" t="str">
        <f t="shared" si="37"/>
        <v>Row 175 - For ‘Transport unit’ if ‘Amount’ is given then ‘Gross / Net’ and ‘Amount unit’ are required</v>
      </c>
      <c r="I1182" s="236" t="s">
        <v>1853</v>
      </c>
      <c r="J1182" s="52" t="b">
        <f>IF(OR(INDEX(OHZ_HAZ_AMOUNT,175,1)&lt;&gt;"",),IF(OR(INDEX(OHZ_HAZ_NETGROSS,175,1)="",INDEX(OHZ_HAZ_UNIT,175,1)="",),FALSE,TRUE),TRUE)</f>
        <v>1</v>
      </c>
      <c r="K1182" s="52" t="str">
        <f t="shared" si="38"/>
        <v>Row 175 - For ‘Transport unit’ if ‘Amount’ is given then ‘Gross / Net’ and ‘Amount unit’ are required</v>
      </c>
      <c r="L1182" s="236" t="s">
        <v>1853</v>
      </c>
    </row>
    <row r="1183" spans="7:12">
      <c r="G1183" s="250" t="b">
        <f>IF(OR(INDEX(IHZ_HAZ_AMOUNT,176,1)&lt;&gt;"",),IF(OR(INDEX(IHZ_HAZ_NETGROSS,176,1)="",INDEX(IHZ_HAZ_UNIT,176,1)="",),FALSE,TRUE),TRUE)</f>
        <v>1</v>
      </c>
      <c r="H1183" s="52" t="str">
        <f t="shared" si="37"/>
        <v>Row 176 - For ‘Transport unit’ if ‘Amount’ is given then ‘Gross / Net’ and ‘Amount unit’ are required</v>
      </c>
      <c r="I1183" s="236" t="s">
        <v>1853</v>
      </c>
      <c r="J1183" s="52" t="b">
        <f>IF(OR(INDEX(OHZ_HAZ_AMOUNT,176,1)&lt;&gt;"",),IF(OR(INDEX(OHZ_HAZ_NETGROSS,176,1)="",INDEX(OHZ_HAZ_UNIT,176,1)="",),FALSE,TRUE),TRUE)</f>
        <v>1</v>
      </c>
      <c r="K1183" s="52" t="str">
        <f t="shared" si="38"/>
        <v>Row 176 - For ‘Transport unit’ if ‘Amount’ is given then ‘Gross / Net’ and ‘Amount unit’ are required</v>
      </c>
      <c r="L1183" s="236" t="s">
        <v>1853</v>
      </c>
    </row>
    <row r="1184" spans="7:12">
      <c r="G1184" s="250" t="b">
        <f>IF(OR(INDEX(IHZ_HAZ_AMOUNT,177,1)&lt;&gt;"",),IF(OR(INDEX(IHZ_HAZ_NETGROSS,177,1)="",INDEX(IHZ_HAZ_UNIT,177,1)="",),FALSE,TRUE),TRUE)</f>
        <v>1</v>
      </c>
      <c r="H1184" s="52" t="str">
        <f t="shared" si="37"/>
        <v>Row 177 - For ‘Transport unit’ if ‘Amount’ is given then ‘Gross / Net’ and ‘Amount unit’ are required</v>
      </c>
      <c r="I1184" s="236" t="s">
        <v>1853</v>
      </c>
      <c r="J1184" s="52" t="b">
        <f>IF(OR(INDEX(OHZ_HAZ_AMOUNT,177,1)&lt;&gt;"",),IF(OR(INDEX(OHZ_HAZ_NETGROSS,177,1)="",INDEX(OHZ_HAZ_UNIT,177,1)="",),FALSE,TRUE),TRUE)</f>
        <v>1</v>
      </c>
      <c r="K1184" s="52" t="str">
        <f t="shared" si="38"/>
        <v>Row 177 - For ‘Transport unit’ if ‘Amount’ is given then ‘Gross / Net’ and ‘Amount unit’ are required</v>
      </c>
      <c r="L1184" s="236" t="s">
        <v>1853</v>
      </c>
    </row>
    <row r="1185" spans="7:12">
      <c r="G1185" s="250" t="b">
        <f>IF(OR(INDEX(IHZ_HAZ_AMOUNT,178,1)&lt;&gt;"",),IF(OR(INDEX(IHZ_HAZ_NETGROSS,178,1)="",INDEX(IHZ_HAZ_UNIT,178,1)="",),FALSE,TRUE),TRUE)</f>
        <v>1</v>
      </c>
      <c r="H1185" s="52" t="str">
        <f t="shared" si="37"/>
        <v>Row 178 - For ‘Transport unit’ if ‘Amount’ is given then ‘Gross / Net’ and ‘Amount unit’ are required</v>
      </c>
      <c r="I1185" s="236" t="s">
        <v>1853</v>
      </c>
      <c r="J1185" s="52" t="b">
        <f>IF(OR(INDEX(OHZ_HAZ_AMOUNT,178,1)&lt;&gt;"",),IF(OR(INDEX(OHZ_HAZ_NETGROSS,178,1)="",INDEX(OHZ_HAZ_UNIT,178,1)="",),FALSE,TRUE),TRUE)</f>
        <v>1</v>
      </c>
      <c r="K1185" s="52" t="str">
        <f t="shared" si="38"/>
        <v>Row 178 - For ‘Transport unit’ if ‘Amount’ is given then ‘Gross / Net’ and ‘Amount unit’ are required</v>
      </c>
      <c r="L1185" s="236" t="s">
        <v>1853</v>
      </c>
    </row>
    <row r="1186" spans="7:12">
      <c r="G1186" s="250" t="b">
        <f>IF(OR(INDEX(IHZ_HAZ_AMOUNT,179,1)&lt;&gt;"",),IF(OR(INDEX(IHZ_HAZ_NETGROSS,179,1)="",INDEX(IHZ_HAZ_UNIT,179,1)="",),FALSE,TRUE),TRUE)</f>
        <v>1</v>
      </c>
      <c r="H1186" s="52" t="str">
        <f t="shared" si="37"/>
        <v>Row 179 - For ‘Transport unit’ if ‘Amount’ is given then ‘Gross / Net’ and ‘Amount unit’ are required</v>
      </c>
      <c r="I1186" s="236" t="s">
        <v>1853</v>
      </c>
      <c r="J1186" s="52" t="b">
        <f>IF(OR(INDEX(OHZ_HAZ_AMOUNT,179,1)&lt;&gt;"",),IF(OR(INDEX(OHZ_HAZ_NETGROSS,179,1)="",INDEX(OHZ_HAZ_UNIT,179,1)="",),FALSE,TRUE),TRUE)</f>
        <v>1</v>
      </c>
      <c r="K1186" s="52" t="str">
        <f t="shared" si="38"/>
        <v>Row 179 - For ‘Transport unit’ if ‘Amount’ is given then ‘Gross / Net’ and ‘Amount unit’ are required</v>
      </c>
      <c r="L1186" s="236" t="s">
        <v>1853</v>
      </c>
    </row>
    <row r="1187" spans="7:12">
      <c r="G1187" s="250" t="b">
        <f>IF(OR(INDEX(IHZ_HAZ_AMOUNT,180,1)&lt;&gt;"",),IF(OR(INDEX(IHZ_HAZ_NETGROSS,180,1)="",INDEX(IHZ_HAZ_UNIT,180,1)="",),FALSE,TRUE),TRUE)</f>
        <v>1</v>
      </c>
      <c r="H1187" s="52" t="str">
        <f t="shared" si="37"/>
        <v>Row 180 - For ‘Transport unit’ if ‘Amount’ is given then ‘Gross / Net’ and ‘Amount unit’ are required</v>
      </c>
      <c r="I1187" s="236" t="s">
        <v>1853</v>
      </c>
      <c r="J1187" s="52" t="b">
        <f>IF(OR(INDEX(OHZ_HAZ_AMOUNT,180,1)&lt;&gt;"",),IF(OR(INDEX(OHZ_HAZ_NETGROSS,180,1)="",INDEX(OHZ_HAZ_UNIT,180,1)="",),FALSE,TRUE),TRUE)</f>
        <v>1</v>
      </c>
      <c r="K1187" s="52" t="str">
        <f t="shared" si="38"/>
        <v>Row 180 - For ‘Transport unit’ if ‘Amount’ is given then ‘Gross / Net’ and ‘Amount unit’ are required</v>
      </c>
      <c r="L1187" s="236" t="s">
        <v>1853</v>
      </c>
    </row>
    <row r="1188" spans="7:12">
      <c r="G1188" s="250" t="b">
        <f>IF(OR(INDEX(IHZ_HAZ_AMOUNT,181,1)&lt;&gt;"",),IF(OR(INDEX(IHZ_HAZ_NETGROSS,181,1)="",INDEX(IHZ_HAZ_UNIT,181,1)="",),FALSE,TRUE),TRUE)</f>
        <v>1</v>
      </c>
      <c r="H1188" s="52" t="str">
        <f t="shared" si="37"/>
        <v>Row 181 - For ‘Transport unit’ if ‘Amount’ is given then ‘Gross / Net’ and ‘Amount unit’ are required</v>
      </c>
      <c r="I1188" s="236" t="s">
        <v>1853</v>
      </c>
      <c r="J1188" s="52" t="b">
        <f>IF(OR(INDEX(OHZ_HAZ_AMOUNT,181,1)&lt;&gt;"",),IF(OR(INDEX(OHZ_HAZ_NETGROSS,181,1)="",INDEX(OHZ_HAZ_UNIT,181,1)="",),FALSE,TRUE),TRUE)</f>
        <v>1</v>
      </c>
      <c r="K1188" s="52" t="str">
        <f t="shared" si="38"/>
        <v>Row 181 - For ‘Transport unit’ if ‘Amount’ is given then ‘Gross / Net’ and ‘Amount unit’ are required</v>
      </c>
      <c r="L1188" s="236" t="s">
        <v>1853</v>
      </c>
    </row>
    <row r="1189" spans="7:12">
      <c r="G1189" s="250" t="b">
        <f>IF(OR(INDEX(IHZ_HAZ_AMOUNT,182,1)&lt;&gt;"",),IF(OR(INDEX(IHZ_HAZ_NETGROSS,182,1)="",INDEX(IHZ_HAZ_UNIT,182,1)="",),FALSE,TRUE),TRUE)</f>
        <v>1</v>
      </c>
      <c r="H1189" s="52" t="str">
        <f t="shared" si="37"/>
        <v>Row 182 - For ‘Transport unit’ if ‘Amount’ is given then ‘Gross / Net’ and ‘Amount unit’ are required</v>
      </c>
      <c r="I1189" s="236" t="s">
        <v>1853</v>
      </c>
      <c r="J1189" s="52" t="b">
        <f>IF(OR(INDEX(OHZ_HAZ_AMOUNT,182,1)&lt;&gt;"",),IF(OR(INDEX(OHZ_HAZ_NETGROSS,182,1)="",INDEX(OHZ_HAZ_UNIT,182,1)="",),FALSE,TRUE),TRUE)</f>
        <v>1</v>
      </c>
      <c r="K1189" s="52" t="str">
        <f t="shared" si="38"/>
        <v>Row 182 - For ‘Transport unit’ if ‘Amount’ is given then ‘Gross / Net’ and ‘Amount unit’ are required</v>
      </c>
      <c r="L1189" s="236" t="s">
        <v>1853</v>
      </c>
    </row>
    <row r="1190" spans="7:12">
      <c r="G1190" s="250" t="b">
        <f>IF(OR(INDEX(IHZ_HAZ_AMOUNT,183,1)&lt;&gt;"",),IF(OR(INDEX(IHZ_HAZ_NETGROSS,183,1)="",INDEX(IHZ_HAZ_UNIT,183,1)="",),FALSE,TRUE),TRUE)</f>
        <v>1</v>
      </c>
      <c r="H1190" s="52" t="str">
        <f t="shared" si="37"/>
        <v>Row 183 - For ‘Transport unit’ if ‘Amount’ is given then ‘Gross / Net’ and ‘Amount unit’ are required</v>
      </c>
      <c r="I1190" s="236" t="s">
        <v>1853</v>
      </c>
      <c r="J1190" s="52" t="b">
        <f>IF(OR(INDEX(OHZ_HAZ_AMOUNT,183,1)&lt;&gt;"",),IF(OR(INDEX(OHZ_HAZ_NETGROSS,183,1)="",INDEX(OHZ_HAZ_UNIT,183,1)="",),FALSE,TRUE),TRUE)</f>
        <v>1</v>
      </c>
      <c r="K1190" s="52" t="str">
        <f t="shared" si="38"/>
        <v>Row 183 - For ‘Transport unit’ if ‘Amount’ is given then ‘Gross / Net’ and ‘Amount unit’ are required</v>
      </c>
      <c r="L1190" s="236" t="s">
        <v>1853</v>
      </c>
    </row>
    <row r="1191" spans="7:12">
      <c r="G1191" s="250" t="b">
        <f>IF(OR(INDEX(IHZ_HAZ_AMOUNT,184,1)&lt;&gt;"",),IF(OR(INDEX(IHZ_HAZ_NETGROSS,184,1)="",INDEX(IHZ_HAZ_UNIT,184,1)="",),FALSE,TRUE),TRUE)</f>
        <v>1</v>
      </c>
      <c r="H1191" s="52" t="str">
        <f t="shared" si="37"/>
        <v>Row 184 - For ‘Transport unit’ if ‘Amount’ is given then ‘Gross / Net’ and ‘Amount unit’ are required</v>
      </c>
      <c r="I1191" s="236" t="s">
        <v>1853</v>
      </c>
      <c r="J1191" s="52" t="b">
        <f>IF(OR(INDEX(OHZ_HAZ_AMOUNT,184,1)&lt;&gt;"",),IF(OR(INDEX(OHZ_HAZ_NETGROSS,184,1)="",INDEX(OHZ_HAZ_UNIT,184,1)="",),FALSE,TRUE),TRUE)</f>
        <v>1</v>
      </c>
      <c r="K1191" s="52" t="str">
        <f t="shared" si="38"/>
        <v>Row 184 - For ‘Transport unit’ if ‘Amount’ is given then ‘Gross / Net’ and ‘Amount unit’ are required</v>
      </c>
      <c r="L1191" s="236" t="s">
        <v>1853</v>
      </c>
    </row>
    <row r="1192" spans="7:12">
      <c r="G1192" s="250" t="b">
        <f>IF(OR(INDEX(IHZ_HAZ_AMOUNT,185,1)&lt;&gt;"",),IF(OR(INDEX(IHZ_HAZ_NETGROSS,185,1)="",INDEX(IHZ_HAZ_UNIT,185,1)="",),FALSE,TRUE),TRUE)</f>
        <v>1</v>
      </c>
      <c r="H1192" s="52" t="str">
        <f t="shared" si="37"/>
        <v>Row 185 - For ‘Transport unit’ if ‘Amount’ is given then ‘Gross / Net’ and ‘Amount unit’ are required</v>
      </c>
      <c r="I1192" s="236" t="s">
        <v>1853</v>
      </c>
      <c r="J1192" s="52" t="b">
        <f>IF(OR(INDEX(OHZ_HAZ_AMOUNT,185,1)&lt;&gt;"",),IF(OR(INDEX(OHZ_HAZ_NETGROSS,185,1)="",INDEX(OHZ_HAZ_UNIT,185,1)="",),FALSE,TRUE),TRUE)</f>
        <v>1</v>
      </c>
      <c r="K1192" s="52" t="str">
        <f t="shared" si="38"/>
        <v>Row 185 - For ‘Transport unit’ if ‘Amount’ is given then ‘Gross / Net’ and ‘Amount unit’ are required</v>
      </c>
      <c r="L1192" s="236" t="s">
        <v>1853</v>
      </c>
    </row>
    <row r="1193" spans="7:12">
      <c r="G1193" s="250" t="b">
        <f>IF(OR(INDEX(IHZ_HAZ_AMOUNT,186,1)&lt;&gt;"",),IF(OR(INDEX(IHZ_HAZ_NETGROSS,186,1)="",INDEX(IHZ_HAZ_UNIT,186,1)="",),FALSE,TRUE),TRUE)</f>
        <v>1</v>
      </c>
      <c r="H1193" s="52" t="str">
        <f t="shared" si="37"/>
        <v>Row 186 - For ‘Transport unit’ if ‘Amount’ is given then ‘Gross / Net’ and ‘Amount unit’ are required</v>
      </c>
      <c r="I1193" s="236" t="s">
        <v>1853</v>
      </c>
      <c r="J1193" s="52" t="b">
        <f>IF(OR(INDEX(OHZ_HAZ_AMOUNT,186,1)&lt;&gt;"",),IF(OR(INDEX(OHZ_HAZ_NETGROSS,186,1)="",INDEX(OHZ_HAZ_UNIT,186,1)="",),FALSE,TRUE),TRUE)</f>
        <v>1</v>
      </c>
      <c r="K1193" s="52" t="str">
        <f t="shared" si="38"/>
        <v>Row 186 - For ‘Transport unit’ if ‘Amount’ is given then ‘Gross / Net’ and ‘Amount unit’ are required</v>
      </c>
      <c r="L1193" s="236" t="s">
        <v>1853</v>
      </c>
    </row>
    <row r="1194" spans="7:12">
      <c r="G1194" s="250" t="b">
        <f>IF(OR(INDEX(IHZ_HAZ_AMOUNT,187,1)&lt;&gt;"",),IF(OR(INDEX(IHZ_HAZ_NETGROSS,187,1)="",INDEX(IHZ_HAZ_UNIT,187,1)="",),FALSE,TRUE),TRUE)</f>
        <v>1</v>
      </c>
      <c r="H1194" s="52" t="str">
        <f t="shared" si="37"/>
        <v>Row 187 - For ‘Transport unit’ if ‘Amount’ is given then ‘Gross / Net’ and ‘Amount unit’ are required</v>
      </c>
      <c r="I1194" s="236" t="s">
        <v>1853</v>
      </c>
      <c r="J1194" s="52" t="b">
        <f>IF(OR(INDEX(OHZ_HAZ_AMOUNT,187,1)&lt;&gt;"",),IF(OR(INDEX(OHZ_HAZ_NETGROSS,187,1)="",INDEX(OHZ_HAZ_UNIT,187,1)="",),FALSE,TRUE),TRUE)</f>
        <v>1</v>
      </c>
      <c r="K1194" s="52" t="str">
        <f t="shared" si="38"/>
        <v>Row 187 - For ‘Transport unit’ if ‘Amount’ is given then ‘Gross / Net’ and ‘Amount unit’ are required</v>
      </c>
      <c r="L1194" s="236" t="s">
        <v>1853</v>
      </c>
    </row>
    <row r="1195" spans="7:12">
      <c r="G1195" s="250" t="b">
        <f>IF(OR(INDEX(IHZ_HAZ_AMOUNT,188,1)&lt;&gt;"",),IF(OR(INDEX(IHZ_HAZ_NETGROSS,188,1)="",INDEX(IHZ_HAZ_UNIT,188,1)="",),FALSE,TRUE),TRUE)</f>
        <v>1</v>
      </c>
      <c r="H1195" s="52" t="str">
        <f t="shared" si="37"/>
        <v>Row 188 - For ‘Transport unit’ if ‘Amount’ is given then ‘Gross / Net’ and ‘Amount unit’ are required</v>
      </c>
      <c r="I1195" s="236" t="s">
        <v>1853</v>
      </c>
      <c r="J1195" s="52" t="b">
        <f>IF(OR(INDEX(OHZ_HAZ_AMOUNT,188,1)&lt;&gt;"",),IF(OR(INDEX(OHZ_HAZ_NETGROSS,188,1)="",INDEX(OHZ_HAZ_UNIT,188,1)="",),FALSE,TRUE),TRUE)</f>
        <v>1</v>
      </c>
      <c r="K1195" s="52" t="str">
        <f t="shared" si="38"/>
        <v>Row 188 - For ‘Transport unit’ if ‘Amount’ is given then ‘Gross / Net’ and ‘Amount unit’ are required</v>
      </c>
      <c r="L1195" s="236" t="s">
        <v>1853</v>
      </c>
    </row>
    <row r="1196" spans="7:12">
      <c r="G1196" s="250" t="b">
        <f>IF(OR(INDEX(IHZ_HAZ_AMOUNT,189,1)&lt;&gt;"",),IF(OR(INDEX(IHZ_HAZ_NETGROSS,189,1)="",INDEX(IHZ_HAZ_UNIT,189,1)="",),FALSE,TRUE),TRUE)</f>
        <v>1</v>
      </c>
      <c r="H1196" s="52" t="str">
        <f t="shared" si="37"/>
        <v>Row 189 - For ‘Transport unit’ if ‘Amount’ is given then ‘Gross / Net’ and ‘Amount unit’ are required</v>
      </c>
      <c r="I1196" s="236" t="s">
        <v>1853</v>
      </c>
      <c r="J1196" s="52" t="b">
        <f>IF(OR(INDEX(OHZ_HAZ_AMOUNT,189,1)&lt;&gt;"",),IF(OR(INDEX(OHZ_HAZ_NETGROSS,189,1)="",INDEX(OHZ_HAZ_UNIT,189,1)="",),FALSE,TRUE),TRUE)</f>
        <v>1</v>
      </c>
      <c r="K1196" s="52" t="str">
        <f t="shared" si="38"/>
        <v>Row 189 - For ‘Transport unit’ if ‘Amount’ is given then ‘Gross / Net’ and ‘Amount unit’ are required</v>
      </c>
      <c r="L1196" s="236" t="s">
        <v>1853</v>
      </c>
    </row>
    <row r="1197" spans="7:12">
      <c r="G1197" s="250" t="b">
        <f>IF(OR(INDEX(IHZ_HAZ_AMOUNT,190,1)&lt;&gt;"",),IF(OR(INDEX(IHZ_HAZ_NETGROSS,190,1)="",INDEX(IHZ_HAZ_UNIT,190,1)="",),FALSE,TRUE),TRUE)</f>
        <v>1</v>
      </c>
      <c r="H1197" s="52" t="str">
        <f t="shared" si="37"/>
        <v>Row 190 - For ‘Transport unit’ if ‘Amount’ is given then ‘Gross / Net’ and ‘Amount unit’ are required</v>
      </c>
      <c r="I1197" s="236" t="s">
        <v>1853</v>
      </c>
      <c r="J1197" s="52" t="b">
        <f>IF(OR(INDEX(OHZ_HAZ_AMOUNT,190,1)&lt;&gt;"",),IF(OR(INDEX(OHZ_HAZ_NETGROSS,190,1)="",INDEX(OHZ_HAZ_UNIT,190,1)="",),FALSE,TRUE),TRUE)</f>
        <v>1</v>
      </c>
      <c r="K1197" s="52" t="str">
        <f t="shared" si="38"/>
        <v>Row 190 - For ‘Transport unit’ if ‘Amount’ is given then ‘Gross / Net’ and ‘Amount unit’ are required</v>
      </c>
      <c r="L1197" s="236" t="s">
        <v>1853</v>
      </c>
    </row>
    <row r="1198" spans="7:12">
      <c r="G1198" s="250" t="b">
        <f>IF(OR(INDEX(IHZ_HAZ_AMOUNT,191,1)&lt;&gt;"",),IF(OR(INDEX(IHZ_HAZ_NETGROSS,191,1)="",INDEX(IHZ_HAZ_UNIT,191,1)="",),FALSE,TRUE),TRUE)</f>
        <v>1</v>
      </c>
      <c r="H1198" s="52" t="str">
        <f t="shared" si="37"/>
        <v>Row 191 - For ‘Transport unit’ if ‘Amount’ is given then ‘Gross / Net’ and ‘Amount unit’ are required</v>
      </c>
      <c r="I1198" s="236" t="s">
        <v>1853</v>
      </c>
      <c r="J1198" s="52" t="b">
        <f>IF(OR(INDEX(OHZ_HAZ_AMOUNT,191,1)&lt;&gt;"",),IF(OR(INDEX(OHZ_HAZ_NETGROSS,191,1)="",INDEX(OHZ_HAZ_UNIT,191,1)="",),FALSE,TRUE),TRUE)</f>
        <v>1</v>
      </c>
      <c r="K1198" s="52" t="str">
        <f t="shared" si="38"/>
        <v>Row 191 - For ‘Transport unit’ if ‘Amount’ is given then ‘Gross / Net’ and ‘Amount unit’ are required</v>
      </c>
      <c r="L1198" s="236" t="s">
        <v>1853</v>
      </c>
    </row>
    <row r="1199" spans="7:12">
      <c r="G1199" s="250" t="b">
        <f>IF(OR(INDEX(IHZ_HAZ_AMOUNT,192,1)&lt;&gt;"",),IF(OR(INDEX(IHZ_HAZ_NETGROSS,192,1)="",INDEX(IHZ_HAZ_UNIT,192,1)="",),FALSE,TRUE),TRUE)</f>
        <v>1</v>
      </c>
      <c r="H1199" s="52" t="str">
        <f t="shared" si="37"/>
        <v>Row 192 - For ‘Transport unit’ if ‘Amount’ is given then ‘Gross / Net’ and ‘Amount unit’ are required</v>
      </c>
      <c r="I1199" s="236" t="s">
        <v>1853</v>
      </c>
      <c r="J1199" s="52" t="b">
        <f>IF(OR(INDEX(OHZ_HAZ_AMOUNT,192,1)&lt;&gt;"",),IF(OR(INDEX(OHZ_HAZ_NETGROSS,192,1)="",INDEX(OHZ_HAZ_UNIT,192,1)="",),FALSE,TRUE),TRUE)</f>
        <v>1</v>
      </c>
      <c r="K1199" s="52" t="str">
        <f t="shared" si="38"/>
        <v>Row 192 - For ‘Transport unit’ if ‘Amount’ is given then ‘Gross / Net’ and ‘Amount unit’ are required</v>
      </c>
      <c r="L1199" s="236" t="s">
        <v>1853</v>
      </c>
    </row>
    <row r="1200" spans="7:12">
      <c r="G1200" s="250" t="b">
        <f>IF(OR(INDEX(IHZ_HAZ_AMOUNT,193,1)&lt;&gt;"",),IF(OR(INDEX(IHZ_HAZ_NETGROSS,193,1)="",INDEX(IHZ_HAZ_UNIT,193,1)="",),FALSE,TRUE),TRUE)</f>
        <v>1</v>
      </c>
      <c r="H1200" s="52" t="str">
        <f t="shared" si="37"/>
        <v>Row 193 - For ‘Transport unit’ if ‘Amount’ is given then ‘Gross / Net’ and ‘Amount unit’ are required</v>
      </c>
      <c r="I1200" s="236" t="s">
        <v>1853</v>
      </c>
      <c r="J1200" s="52" t="b">
        <f>IF(OR(INDEX(OHZ_HAZ_AMOUNT,193,1)&lt;&gt;"",),IF(OR(INDEX(OHZ_HAZ_NETGROSS,193,1)="",INDEX(OHZ_HAZ_UNIT,193,1)="",),FALSE,TRUE),TRUE)</f>
        <v>1</v>
      </c>
      <c r="K1200" s="52" t="str">
        <f t="shared" si="38"/>
        <v>Row 193 - For ‘Transport unit’ if ‘Amount’ is given then ‘Gross / Net’ and ‘Amount unit’ are required</v>
      </c>
      <c r="L1200" s="236" t="s">
        <v>1853</v>
      </c>
    </row>
    <row r="1201" spans="7:12">
      <c r="G1201" s="250" t="b">
        <f>IF(OR(INDEX(IHZ_HAZ_AMOUNT,194,1)&lt;&gt;"",),IF(OR(INDEX(IHZ_HAZ_NETGROSS,194,1)="",INDEX(IHZ_HAZ_UNIT,194,1)="",),FALSE,TRUE),TRUE)</f>
        <v>1</v>
      </c>
      <c r="H1201" s="52" t="str">
        <f t="shared" ref="H1201:H1257" si="39">T194&amp;$V$5</f>
        <v>Row 194 - For ‘Transport unit’ if ‘Amount’ is given then ‘Gross / Net’ and ‘Amount unit’ are required</v>
      </c>
      <c r="I1201" s="236" t="s">
        <v>1853</v>
      </c>
      <c r="J1201" s="52" t="b">
        <f>IF(OR(INDEX(OHZ_HAZ_AMOUNT,194,1)&lt;&gt;"",),IF(OR(INDEX(OHZ_HAZ_NETGROSS,194,1)="",INDEX(OHZ_HAZ_UNIT,194,1)="",),FALSE,TRUE),TRUE)</f>
        <v>1</v>
      </c>
      <c r="K1201" s="52" t="str">
        <f t="shared" ref="K1201:K1257" si="40">T194&amp;$V$5</f>
        <v>Row 194 - For ‘Transport unit’ if ‘Amount’ is given then ‘Gross / Net’ and ‘Amount unit’ are required</v>
      </c>
      <c r="L1201" s="236" t="s">
        <v>1853</v>
      </c>
    </row>
    <row r="1202" spans="7:12">
      <c r="G1202" s="250" t="b">
        <f>IF(OR(INDEX(IHZ_HAZ_AMOUNT,195,1)&lt;&gt;"",),IF(OR(INDEX(IHZ_HAZ_NETGROSS,195,1)="",INDEX(IHZ_HAZ_UNIT,195,1)="",),FALSE,TRUE),TRUE)</f>
        <v>1</v>
      </c>
      <c r="H1202" s="52" t="str">
        <f t="shared" si="39"/>
        <v>Row 195 - For ‘Transport unit’ if ‘Amount’ is given then ‘Gross / Net’ and ‘Amount unit’ are required</v>
      </c>
      <c r="I1202" s="236" t="s">
        <v>1853</v>
      </c>
      <c r="J1202" s="52" t="b">
        <f>IF(OR(INDEX(OHZ_HAZ_AMOUNT,195,1)&lt;&gt;"",),IF(OR(INDEX(OHZ_HAZ_NETGROSS,195,1)="",INDEX(OHZ_HAZ_UNIT,195,1)="",),FALSE,TRUE),TRUE)</f>
        <v>1</v>
      </c>
      <c r="K1202" s="52" t="str">
        <f t="shared" si="40"/>
        <v>Row 195 - For ‘Transport unit’ if ‘Amount’ is given then ‘Gross / Net’ and ‘Amount unit’ are required</v>
      </c>
      <c r="L1202" s="236" t="s">
        <v>1853</v>
      </c>
    </row>
    <row r="1203" spans="7:12">
      <c r="G1203" s="250" t="b">
        <f>IF(OR(INDEX(IHZ_HAZ_AMOUNT,196,1)&lt;&gt;"",),IF(OR(INDEX(IHZ_HAZ_NETGROSS,196,1)="",INDEX(IHZ_HAZ_UNIT,196,1)="",),FALSE,TRUE),TRUE)</f>
        <v>1</v>
      </c>
      <c r="H1203" s="52" t="str">
        <f t="shared" si="39"/>
        <v>Row 196 - For ‘Transport unit’ if ‘Amount’ is given then ‘Gross / Net’ and ‘Amount unit’ are required</v>
      </c>
      <c r="I1203" s="236" t="s">
        <v>1853</v>
      </c>
      <c r="J1203" s="52" t="b">
        <f>IF(OR(INDEX(OHZ_HAZ_AMOUNT,196,1)&lt;&gt;"",),IF(OR(INDEX(OHZ_HAZ_NETGROSS,196,1)="",INDEX(OHZ_HAZ_UNIT,196,1)="",),FALSE,TRUE),TRUE)</f>
        <v>1</v>
      </c>
      <c r="K1203" s="52" t="str">
        <f t="shared" si="40"/>
        <v>Row 196 - For ‘Transport unit’ if ‘Amount’ is given then ‘Gross / Net’ and ‘Amount unit’ are required</v>
      </c>
      <c r="L1203" s="236" t="s">
        <v>1853</v>
      </c>
    </row>
    <row r="1204" spans="7:12">
      <c r="G1204" s="250" t="b">
        <f>IF(OR(INDEX(IHZ_HAZ_AMOUNT,197,1)&lt;&gt;"",),IF(OR(INDEX(IHZ_HAZ_NETGROSS,197,1)="",INDEX(IHZ_HAZ_UNIT,197,1)="",),FALSE,TRUE),TRUE)</f>
        <v>1</v>
      </c>
      <c r="H1204" s="52" t="str">
        <f t="shared" si="39"/>
        <v>Row 197 - For ‘Transport unit’ if ‘Amount’ is given then ‘Gross / Net’ and ‘Amount unit’ are required</v>
      </c>
      <c r="I1204" s="236" t="s">
        <v>1853</v>
      </c>
      <c r="J1204" s="52" t="b">
        <f>IF(OR(INDEX(OHZ_HAZ_AMOUNT,197,1)&lt;&gt;"",),IF(OR(INDEX(OHZ_HAZ_NETGROSS,197,1)="",INDEX(OHZ_HAZ_UNIT,197,1)="",),FALSE,TRUE),TRUE)</f>
        <v>1</v>
      </c>
      <c r="K1204" s="52" t="str">
        <f t="shared" si="40"/>
        <v>Row 197 - For ‘Transport unit’ if ‘Amount’ is given then ‘Gross / Net’ and ‘Amount unit’ are required</v>
      </c>
      <c r="L1204" s="236" t="s">
        <v>1853</v>
      </c>
    </row>
    <row r="1205" spans="7:12">
      <c r="G1205" s="250" t="b">
        <f>IF(OR(INDEX(IHZ_HAZ_AMOUNT,198,1)&lt;&gt;"",),IF(OR(INDEX(IHZ_HAZ_NETGROSS,198,1)="",INDEX(IHZ_HAZ_UNIT,198,1)="",),FALSE,TRUE),TRUE)</f>
        <v>1</v>
      </c>
      <c r="H1205" s="52" t="str">
        <f t="shared" si="39"/>
        <v>Row 198 - For ‘Transport unit’ if ‘Amount’ is given then ‘Gross / Net’ and ‘Amount unit’ are required</v>
      </c>
      <c r="I1205" s="236" t="s">
        <v>1853</v>
      </c>
      <c r="J1205" s="52" t="b">
        <f>IF(OR(INDEX(OHZ_HAZ_AMOUNT,198,1)&lt;&gt;"",),IF(OR(INDEX(OHZ_HAZ_NETGROSS,198,1)="",INDEX(OHZ_HAZ_UNIT,198,1)="",),FALSE,TRUE),TRUE)</f>
        <v>1</v>
      </c>
      <c r="K1205" s="52" t="str">
        <f t="shared" si="40"/>
        <v>Row 198 - For ‘Transport unit’ if ‘Amount’ is given then ‘Gross / Net’ and ‘Amount unit’ are required</v>
      </c>
      <c r="L1205" s="236" t="s">
        <v>1853</v>
      </c>
    </row>
    <row r="1206" spans="7:12">
      <c r="G1206" s="250" t="b">
        <f>IF(OR(INDEX(IHZ_HAZ_AMOUNT,199,1)&lt;&gt;"",),IF(OR(INDEX(IHZ_HAZ_NETGROSS,199,1)="",INDEX(IHZ_HAZ_UNIT,199,1)="",),FALSE,TRUE),TRUE)</f>
        <v>1</v>
      </c>
      <c r="H1206" s="52" t="str">
        <f t="shared" si="39"/>
        <v>Row 199 - For ‘Transport unit’ if ‘Amount’ is given then ‘Gross / Net’ and ‘Amount unit’ are required</v>
      </c>
      <c r="I1206" s="236" t="s">
        <v>1853</v>
      </c>
      <c r="J1206" s="52" t="b">
        <f>IF(OR(INDEX(OHZ_HAZ_AMOUNT,199,1)&lt;&gt;"",),IF(OR(INDEX(OHZ_HAZ_NETGROSS,199,1)="",INDEX(OHZ_HAZ_UNIT,199,1)="",),FALSE,TRUE),TRUE)</f>
        <v>1</v>
      </c>
      <c r="K1206" s="52" t="str">
        <f t="shared" si="40"/>
        <v>Row 199 - For ‘Transport unit’ if ‘Amount’ is given then ‘Gross / Net’ and ‘Amount unit’ are required</v>
      </c>
      <c r="L1206" s="236" t="s">
        <v>1853</v>
      </c>
    </row>
    <row r="1207" spans="7:12">
      <c r="G1207" s="250" t="b">
        <f>IF(OR(INDEX(IHZ_HAZ_AMOUNT,200,1)&lt;&gt;"",),IF(OR(INDEX(IHZ_HAZ_NETGROSS,200,1)="",INDEX(IHZ_HAZ_UNIT,200,1)="",),FALSE,TRUE),TRUE)</f>
        <v>1</v>
      </c>
      <c r="H1207" s="52" t="str">
        <f t="shared" si="39"/>
        <v>Row 200 - For ‘Transport unit’ if ‘Amount’ is given then ‘Gross / Net’ and ‘Amount unit’ are required</v>
      </c>
      <c r="I1207" s="236" t="s">
        <v>1853</v>
      </c>
      <c r="J1207" s="52" t="b">
        <f>IF(OR(INDEX(OHZ_HAZ_AMOUNT,200,1)&lt;&gt;"",),IF(OR(INDEX(OHZ_HAZ_NETGROSS,200,1)="",INDEX(OHZ_HAZ_UNIT,200,1)="",),FALSE,TRUE),TRUE)</f>
        <v>1</v>
      </c>
      <c r="K1207" s="52" t="str">
        <f t="shared" si="40"/>
        <v>Row 200 - For ‘Transport unit’ if ‘Amount’ is given then ‘Gross / Net’ and ‘Amount unit’ are required</v>
      </c>
      <c r="L1207" s="236" t="s">
        <v>1853</v>
      </c>
    </row>
    <row r="1208" spans="7:12">
      <c r="G1208" s="250" t="b">
        <f>IF(OR(INDEX(IHZ_HAZ_AMOUNT,201,1)&lt;&gt;"",),IF(OR(INDEX(IHZ_HAZ_NETGROSS,201,1)="",INDEX(IHZ_HAZ_UNIT,201,1)="",),FALSE,TRUE),TRUE)</f>
        <v>1</v>
      </c>
      <c r="H1208" s="52" t="str">
        <f t="shared" si="39"/>
        <v>Row 201 - For ‘Transport unit’ if ‘Amount’ is given then ‘Gross / Net’ and ‘Amount unit’ are required</v>
      </c>
      <c r="I1208" s="236" t="s">
        <v>1853</v>
      </c>
      <c r="J1208" s="52" t="b">
        <f>IF(OR(INDEX(OHZ_HAZ_AMOUNT,201,1)&lt;&gt;"",),IF(OR(INDEX(OHZ_HAZ_NETGROSS,201,1)="",INDEX(OHZ_HAZ_UNIT,201,1)="",),FALSE,TRUE),TRUE)</f>
        <v>1</v>
      </c>
      <c r="K1208" s="52" t="str">
        <f t="shared" si="40"/>
        <v>Row 201 - For ‘Transport unit’ if ‘Amount’ is given then ‘Gross / Net’ and ‘Amount unit’ are required</v>
      </c>
      <c r="L1208" s="236" t="s">
        <v>1853</v>
      </c>
    </row>
    <row r="1209" spans="7:12">
      <c r="G1209" s="250" t="b">
        <f>IF(OR(INDEX(IHZ_HAZ_AMOUNT,202,1)&lt;&gt;"",),IF(OR(INDEX(IHZ_HAZ_NETGROSS,202,1)="",INDEX(IHZ_HAZ_UNIT,202,1)="",),FALSE,TRUE),TRUE)</f>
        <v>1</v>
      </c>
      <c r="H1209" s="52" t="str">
        <f t="shared" si="39"/>
        <v>Row 202 - For ‘Transport unit’ if ‘Amount’ is given then ‘Gross / Net’ and ‘Amount unit’ are required</v>
      </c>
      <c r="I1209" s="236" t="s">
        <v>1853</v>
      </c>
      <c r="J1209" s="52" t="b">
        <f>IF(OR(INDEX(OHZ_HAZ_AMOUNT,202,1)&lt;&gt;"",),IF(OR(INDEX(OHZ_HAZ_NETGROSS,202,1)="",INDEX(OHZ_HAZ_UNIT,202,1)="",),FALSE,TRUE),TRUE)</f>
        <v>1</v>
      </c>
      <c r="K1209" s="52" t="str">
        <f t="shared" si="40"/>
        <v>Row 202 - For ‘Transport unit’ if ‘Amount’ is given then ‘Gross / Net’ and ‘Amount unit’ are required</v>
      </c>
      <c r="L1209" s="236" t="s">
        <v>1853</v>
      </c>
    </row>
    <row r="1210" spans="7:12">
      <c r="G1210" s="250" t="b">
        <f>IF(OR(INDEX(IHZ_HAZ_AMOUNT,203,1)&lt;&gt;"",),IF(OR(INDEX(IHZ_HAZ_NETGROSS,203,1)="",INDEX(IHZ_HAZ_UNIT,203,1)="",),FALSE,TRUE),TRUE)</f>
        <v>1</v>
      </c>
      <c r="H1210" s="52" t="str">
        <f t="shared" si="39"/>
        <v>Row 203 - For ‘Transport unit’ if ‘Amount’ is given then ‘Gross / Net’ and ‘Amount unit’ are required</v>
      </c>
      <c r="I1210" s="236" t="s">
        <v>1853</v>
      </c>
      <c r="J1210" s="52" t="b">
        <f>IF(OR(INDEX(OHZ_HAZ_AMOUNT,203,1)&lt;&gt;"",),IF(OR(INDEX(OHZ_HAZ_NETGROSS,203,1)="",INDEX(OHZ_HAZ_UNIT,203,1)="",),FALSE,TRUE),TRUE)</f>
        <v>1</v>
      </c>
      <c r="K1210" s="52" t="str">
        <f t="shared" si="40"/>
        <v>Row 203 - For ‘Transport unit’ if ‘Amount’ is given then ‘Gross / Net’ and ‘Amount unit’ are required</v>
      </c>
      <c r="L1210" s="236" t="s">
        <v>1853</v>
      </c>
    </row>
    <row r="1211" spans="7:12">
      <c r="G1211" s="250" t="b">
        <f>IF(OR(INDEX(IHZ_HAZ_AMOUNT,204,1)&lt;&gt;"",),IF(OR(INDEX(IHZ_HAZ_NETGROSS,204,1)="",INDEX(IHZ_HAZ_UNIT,204,1)="",),FALSE,TRUE),TRUE)</f>
        <v>1</v>
      </c>
      <c r="H1211" s="52" t="str">
        <f t="shared" si="39"/>
        <v>Row 204 - For ‘Transport unit’ if ‘Amount’ is given then ‘Gross / Net’ and ‘Amount unit’ are required</v>
      </c>
      <c r="I1211" s="236" t="s">
        <v>1853</v>
      </c>
      <c r="J1211" s="52" t="b">
        <f>IF(OR(INDEX(OHZ_HAZ_AMOUNT,204,1)&lt;&gt;"",),IF(OR(INDEX(OHZ_HAZ_NETGROSS,204,1)="",INDEX(OHZ_HAZ_UNIT,204,1)="",),FALSE,TRUE),TRUE)</f>
        <v>1</v>
      </c>
      <c r="K1211" s="52" t="str">
        <f t="shared" si="40"/>
        <v>Row 204 - For ‘Transport unit’ if ‘Amount’ is given then ‘Gross / Net’ and ‘Amount unit’ are required</v>
      </c>
      <c r="L1211" s="236" t="s">
        <v>1853</v>
      </c>
    </row>
    <row r="1212" spans="7:12">
      <c r="G1212" s="250" t="b">
        <f>IF(OR(INDEX(IHZ_HAZ_AMOUNT,205,1)&lt;&gt;"",),IF(OR(INDEX(IHZ_HAZ_NETGROSS,205,1)="",INDEX(IHZ_HAZ_UNIT,205,1)="",),FALSE,TRUE),TRUE)</f>
        <v>1</v>
      </c>
      <c r="H1212" s="52" t="str">
        <f t="shared" si="39"/>
        <v>Row 205 - For ‘Transport unit’ if ‘Amount’ is given then ‘Gross / Net’ and ‘Amount unit’ are required</v>
      </c>
      <c r="I1212" s="236" t="s">
        <v>1853</v>
      </c>
      <c r="J1212" s="52" t="b">
        <f>IF(OR(INDEX(OHZ_HAZ_AMOUNT,205,1)&lt;&gt;"",),IF(OR(INDEX(OHZ_HAZ_NETGROSS,205,1)="",INDEX(OHZ_HAZ_UNIT,205,1)="",),FALSE,TRUE),TRUE)</f>
        <v>1</v>
      </c>
      <c r="K1212" s="52" t="str">
        <f t="shared" si="40"/>
        <v>Row 205 - For ‘Transport unit’ if ‘Amount’ is given then ‘Gross / Net’ and ‘Amount unit’ are required</v>
      </c>
      <c r="L1212" s="236" t="s">
        <v>1853</v>
      </c>
    </row>
    <row r="1213" spans="7:12">
      <c r="G1213" s="250" t="b">
        <f>IF(OR(INDEX(IHZ_HAZ_AMOUNT,206,1)&lt;&gt;"",),IF(OR(INDEX(IHZ_HAZ_NETGROSS,206,1)="",INDEX(IHZ_HAZ_UNIT,206,1)="",),FALSE,TRUE),TRUE)</f>
        <v>1</v>
      </c>
      <c r="H1213" s="52" t="str">
        <f t="shared" si="39"/>
        <v>Row 206 - For ‘Transport unit’ if ‘Amount’ is given then ‘Gross / Net’ and ‘Amount unit’ are required</v>
      </c>
      <c r="I1213" s="236" t="s">
        <v>1853</v>
      </c>
      <c r="J1213" s="52" t="b">
        <f>IF(OR(INDEX(OHZ_HAZ_AMOUNT,206,1)&lt;&gt;"",),IF(OR(INDEX(OHZ_HAZ_NETGROSS,206,1)="",INDEX(OHZ_HAZ_UNIT,206,1)="",),FALSE,TRUE),TRUE)</f>
        <v>1</v>
      </c>
      <c r="K1213" s="52" t="str">
        <f t="shared" si="40"/>
        <v>Row 206 - For ‘Transport unit’ if ‘Amount’ is given then ‘Gross / Net’ and ‘Amount unit’ are required</v>
      </c>
      <c r="L1213" s="236" t="s">
        <v>1853</v>
      </c>
    </row>
    <row r="1214" spans="7:12">
      <c r="G1214" s="250" t="b">
        <f>IF(OR(INDEX(IHZ_HAZ_AMOUNT,207,1)&lt;&gt;"",),IF(OR(INDEX(IHZ_HAZ_NETGROSS,207,1)="",INDEX(IHZ_HAZ_UNIT,207,1)="",),FALSE,TRUE),TRUE)</f>
        <v>1</v>
      </c>
      <c r="H1214" s="52" t="str">
        <f t="shared" si="39"/>
        <v>Row 207 - For ‘Transport unit’ if ‘Amount’ is given then ‘Gross / Net’ and ‘Amount unit’ are required</v>
      </c>
      <c r="I1214" s="236" t="s">
        <v>1853</v>
      </c>
      <c r="J1214" s="52" t="b">
        <f>IF(OR(INDEX(OHZ_HAZ_AMOUNT,207,1)&lt;&gt;"",),IF(OR(INDEX(OHZ_HAZ_NETGROSS,207,1)="",INDEX(OHZ_HAZ_UNIT,207,1)="",),FALSE,TRUE),TRUE)</f>
        <v>1</v>
      </c>
      <c r="K1214" s="52" t="str">
        <f t="shared" si="40"/>
        <v>Row 207 - For ‘Transport unit’ if ‘Amount’ is given then ‘Gross / Net’ and ‘Amount unit’ are required</v>
      </c>
      <c r="L1214" s="236" t="s">
        <v>1853</v>
      </c>
    </row>
    <row r="1215" spans="7:12">
      <c r="G1215" s="250" t="b">
        <f>IF(OR(INDEX(IHZ_HAZ_AMOUNT,208,1)&lt;&gt;"",),IF(OR(INDEX(IHZ_HAZ_NETGROSS,208,1)="",INDEX(IHZ_HAZ_UNIT,208,1)="",),FALSE,TRUE),TRUE)</f>
        <v>1</v>
      </c>
      <c r="H1215" s="52" t="str">
        <f t="shared" si="39"/>
        <v>Row 208 - For ‘Transport unit’ if ‘Amount’ is given then ‘Gross / Net’ and ‘Amount unit’ are required</v>
      </c>
      <c r="I1215" s="236" t="s">
        <v>1853</v>
      </c>
      <c r="J1215" s="52" t="b">
        <f>IF(OR(INDEX(OHZ_HAZ_AMOUNT,208,1)&lt;&gt;"",),IF(OR(INDEX(OHZ_HAZ_NETGROSS,208,1)="",INDEX(OHZ_HAZ_UNIT,208,1)="",),FALSE,TRUE),TRUE)</f>
        <v>1</v>
      </c>
      <c r="K1215" s="52" t="str">
        <f t="shared" si="40"/>
        <v>Row 208 - For ‘Transport unit’ if ‘Amount’ is given then ‘Gross / Net’ and ‘Amount unit’ are required</v>
      </c>
      <c r="L1215" s="236" t="s">
        <v>1853</v>
      </c>
    </row>
    <row r="1216" spans="7:12">
      <c r="G1216" s="250" t="b">
        <f>IF(OR(INDEX(IHZ_HAZ_AMOUNT,209,1)&lt;&gt;"",),IF(OR(INDEX(IHZ_HAZ_NETGROSS,209,1)="",INDEX(IHZ_HAZ_UNIT,209,1)="",),FALSE,TRUE),TRUE)</f>
        <v>1</v>
      </c>
      <c r="H1216" s="52" t="str">
        <f t="shared" si="39"/>
        <v>Row 209 - For ‘Transport unit’ if ‘Amount’ is given then ‘Gross / Net’ and ‘Amount unit’ are required</v>
      </c>
      <c r="I1216" s="236" t="s">
        <v>1853</v>
      </c>
      <c r="J1216" s="52" t="b">
        <f>IF(OR(INDEX(OHZ_HAZ_AMOUNT,209,1)&lt;&gt;"",),IF(OR(INDEX(OHZ_HAZ_NETGROSS,209,1)="",INDEX(OHZ_HAZ_UNIT,209,1)="",),FALSE,TRUE),TRUE)</f>
        <v>1</v>
      </c>
      <c r="K1216" s="52" t="str">
        <f t="shared" si="40"/>
        <v>Row 209 - For ‘Transport unit’ if ‘Amount’ is given then ‘Gross / Net’ and ‘Amount unit’ are required</v>
      </c>
      <c r="L1216" s="236" t="s">
        <v>1853</v>
      </c>
    </row>
    <row r="1217" spans="7:12">
      <c r="G1217" s="250" t="b">
        <f>IF(OR(INDEX(IHZ_HAZ_AMOUNT,210,1)&lt;&gt;"",),IF(OR(INDEX(IHZ_HAZ_NETGROSS,210,1)="",INDEX(IHZ_HAZ_UNIT,210,1)="",),FALSE,TRUE),TRUE)</f>
        <v>1</v>
      </c>
      <c r="H1217" s="52" t="str">
        <f t="shared" si="39"/>
        <v>Row 210 - For ‘Transport unit’ if ‘Amount’ is given then ‘Gross / Net’ and ‘Amount unit’ are required</v>
      </c>
      <c r="I1217" s="236" t="s">
        <v>1853</v>
      </c>
      <c r="J1217" s="52" t="b">
        <f>IF(OR(INDEX(OHZ_HAZ_AMOUNT,210,1)&lt;&gt;"",),IF(OR(INDEX(OHZ_HAZ_NETGROSS,210,1)="",INDEX(OHZ_HAZ_UNIT,210,1)="",),FALSE,TRUE),TRUE)</f>
        <v>1</v>
      </c>
      <c r="K1217" s="52" t="str">
        <f t="shared" si="40"/>
        <v>Row 210 - For ‘Transport unit’ if ‘Amount’ is given then ‘Gross / Net’ and ‘Amount unit’ are required</v>
      </c>
      <c r="L1217" s="236" t="s">
        <v>1853</v>
      </c>
    </row>
    <row r="1218" spans="7:12">
      <c r="G1218" s="250" t="b">
        <f>IF(OR(INDEX(IHZ_HAZ_AMOUNT,211,1)&lt;&gt;"",),IF(OR(INDEX(IHZ_HAZ_NETGROSS,211,1)="",INDEX(IHZ_HAZ_UNIT,211,1)="",),FALSE,TRUE),TRUE)</f>
        <v>1</v>
      </c>
      <c r="H1218" s="52" t="str">
        <f t="shared" si="39"/>
        <v>Row 211 - For ‘Transport unit’ if ‘Amount’ is given then ‘Gross / Net’ and ‘Amount unit’ are required</v>
      </c>
      <c r="I1218" s="236" t="s">
        <v>1853</v>
      </c>
      <c r="J1218" s="52" t="b">
        <f>IF(OR(INDEX(OHZ_HAZ_AMOUNT,211,1)&lt;&gt;"",),IF(OR(INDEX(OHZ_HAZ_NETGROSS,211,1)="",INDEX(OHZ_HAZ_UNIT,211,1)="",),FALSE,TRUE),TRUE)</f>
        <v>1</v>
      </c>
      <c r="K1218" s="52" t="str">
        <f t="shared" si="40"/>
        <v>Row 211 - For ‘Transport unit’ if ‘Amount’ is given then ‘Gross / Net’ and ‘Amount unit’ are required</v>
      </c>
      <c r="L1218" s="236" t="s">
        <v>1853</v>
      </c>
    </row>
    <row r="1219" spans="7:12">
      <c r="G1219" s="250" t="b">
        <f>IF(OR(INDEX(IHZ_HAZ_AMOUNT,212,1)&lt;&gt;"",),IF(OR(INDEX(IHZ_HAZ_NETGROSS,212,1)="",INDEX(IHZ_HAZ_UNIT,212,1)="",),FALSE,TRUE),TRUE)</f>
        <v>1</v>
      </c>
      <c r="H1219" s="52" t="str">
        <f t="shared" si="39"/>
        <v>Row 212 - For ‘Transport unit’ if ‘Amount’ is given then ‘Gross / Net’ and ‘Amount unit’ are required</v>
      </c>
      <c r="I1219" s="236" t="s">
        <v>1853</v>
      </c>
      <c r="J1219" s="52" t="b">
        <f>IF(OR(INDEX(OHZ_HAZ_AMOUNT,212,1)&lt;&gt;"",),IF(OR(INDEX(OHZ_HAZ_NETGROSS,212,1)="",INDEX(OHZ_HAZ_UNIT,212,1)="",),FALSE,TRUE),TRUE)</f>
        <v>1</v>
      </c>
      <c r="K1219" s="52" t="str">
        <f t="shared" si="40"/>
        <v>Row 212 - For ‘Transport unit’ if ‘Amount’ is given then ‘Gross / Net’ and ‘Amount unit’ are required</v>
      </c>
      <c r="L1219" s="236" t="s">
        <v>1853</v>
      </c>
    </row>
    <row r="1220" spans="7:12">
      <c r="G1220" s="250" t="b">
        <f>IF(OR(INDEX(IHZ_HAZ_AMOUNT,213,1)&lt;&gt;"",),IF(OR(INDEX(IHZ_HAZ_NETGROSS,213,1)="",INDEX(IHZ_HAZ_UNIT,213,1)="",),FALSE,TRUE),TRUE)</f>
        <v>1</v>
      </c>
      <c r="H1220" s="52" t="str">
        <f t="shared" si="39"/>
        <v>Row 213 - For ‘Transport unit’ if ‘Amount’ is given then ‘Gross / Net’ and ‘Amount unit’ are required</v>
      </c>
      <c r="I1220" s="236" t="s">
        <v>1853</v>
      </c>
      <c r="J1220" s="52" t="b">
        <f>IF(OR(INDEX(OHZ_HAZ_AMOUNT,213,1)&lt;&gt;"",),IF(OR(INDEX(OHZ_HAZ_NETGROSS,213,1)="",INDEX(OHZ_HAZ_UNIT,213,1)="",),FALSE,TRUE),TRUE)</f>
        <v>1</v>
      </c>
      <c r="K1220" s="52" t="str">
        <f t="shared" si="40"/>
        <v>Row 213 - For ‘Transport unit’ if ‘Amount’ is given then ‘Gross / Net’ and ‘Amount unit’ are required</v>
      </c>
      <c r="L1220" s="236" t="s">
        <v>1853</v>
      </c>
    </row>
    <row r="1221" spans="7:12">
      <c r="G1221" s="250" t="b">
        <f>IF(OR(INDEX(IHZ_HAZ_AMOUNT,214,1)&lt;&gt;"",),IF(OR(INDEX(IHZ_HAZ_NETGROSS,214,1)="",INDEX(IHZ_HAZ_UNIT,214,1)="",),FALSE,TRUE),TRUE)</f>
        <v>1</v>
      </c>
      <c r="H1221" s="52" t="str">
        <f t="shared" si="39"/>
        <v>Row 214 - For ‘Transport unit’ if ‘Amount’ is given then ‘Gross / Net’ and ‘Amount unit’ are required</v>
      </c>
      <c r="I1221" s="236" t="s">
        <v>1853</v>
      </c>
      <c r="J1221" s="52" t="b">
        <f>IF(OR(INDEX(OHZ_HAZ_AMOUNT,214,1)&lt;&gt;"",),IF(OR(INDEX(OHZ_HAZ_NETGROSS,214,1)="",INDEX(OHZ_HAZ_UNIT,214,1)="",),FALSE,TRUE),TRUE)</f>
        <v>1</v>
      </c>
      <c r="K1221" s="52" t="str">
        <f t="shared" si="40"/>
        <v>Row 214 - For ‘Transport unit’ if ‘Amount’ is given then ‘Gross / Net’ and ‘Amount unit’ are required</v>
      </c>
      <c r="L1221" s="236" t="s">
        <v>1853</v>
      </c>
    </row>
    <row r="1222" spans="7:12">
      <c r="G1222" s="250" t="b">
        <f>IF(OR(INDEX(IHZ_HAZ_AMOUNT,215,1)&lt;&gt;"",),IF(OR(INDEX(IHZ_HAZ_NETGROSS,215,1)="",INDEX(IHZ_HAZ_UNIT,215,1)="",),FALSE,TRUE),TRUE)</f>
        <v>1</v>
      </c>
      <c r="H1222" s="52" t="str">
        <f t="shared" si="39"/>
        <v>Row 215 - For ‘Transport unit’ if ‘Amount’ is given then ‘Gross / Net’ and ‘Amount unit’ are required</v>
      </c>
      <c r="I1222" s="236" t="s">
        <v>1853</v>
      </c>
      <c r="J1222" s="52" t="b">
        <f>IF(OR(INDEX(OHZ_HAZ_AMOUNT,215,1)&lt;&gt;"",),IF(OR(INDEX(OHZ_HAZ_NETGROSS,215,1)="",INDEX(OHZ_HAZ_UNIT,215,1)="",),FALSE,TRUE),TRUE)</f>
        <v>1</v>
      </c>
      <c r="K1222" s="52" t="str">
        <f t="shared" si="40"/>
        <v>Row 215 - For ‘Transport unit’ if ‘Amount’ is given then ‘Gross / Net’ and ‘Amount unit’ are required</v>
      </c>
      <c r="L1222" s="236" t="s">
        <v>1853</v>
      </c>
    </row>
    <row r="1223" spans="7:12">
      <c r="G1223" s="250" t="b">
        <f>IF(OR(INDEX(IHZ_HAZ_AMOUNT,216,1)&lt;&gt;"",),IF(OR(INDEX(IHZ_HAZ_NETGROSS,216,1)="",INDEX(IHZ_HAZ_UNIT,216,1)="",),FALSE,TRUE),TRUE)</f>
        <v>1</v>
      </c>
      <c r="H1223" s="52" t="str">
        <f t="shared" si="39"/>
        <v>Row 216 - For ‘Transport unit’ if ‘Amount’ is given then ‘Gross / Net’ and ‘Amount unit’ are required</v>
      </c>
      <c r="I1223" s="236" t="s">
        <v>1853</v>
      </c>
      <c r="J1223" s="52" t="b">
        <f>IF(OR(INDEX(OHZ_HAZ_AMOUNT,216,1)&lt;&gt;"",),IF(OR(INDEX(OHZ_HAZ_NETGROSS,216,1)="",INDEX(OHZ_HAZ_UNIT,216,1)="",),FALSE,TRUE),TRUE)</f>
        <v>1</v>
      </c>
      <c r="K1223" s="52" t="str">
        <f t="shared" si="40"/>
        <v>Row 216 - For ‘Transport unit’ if ‘Amount’ is given then ‘Gross / Net’ and ‘Amount unit’ are required</v>
      </c>
      <c r="L1223" s="236" t="s">
        <v>1853</v>
      </c>
    </row>
    <row r="1224" spans="7:12">
      <c r="G1224" s="250" t="b">
        <f>IF(OR(INDEX(IHZ_HAZ_AMOUNT,217,1)&lt;&gt;"",),IF(OR(INDEX(IHZ_HAZ_NETGROSS,217,1)="",INDEX(IHZ_HAZ_UNIT,217,1)="",),FALSE,TRUE),TRUE)</f>
        <v>1</v>
      </c>
      <c r="H1224" s="52" t="str">
        <f t="shared" si="39"/>
        <v>Row 217 - For ‘Transport unit’ if ‘Amount’ is given then ‘Gross / Net’ and ‘Amount unit’ are required</v>
      </c>
      <c r="I1224" s="236" t="s">
        <v>1853</v>
      </c>
      <c r="J1224" s="52" t="b">
        <f>IF(OR(INDEX(OHZ_HAZ_AMOUNT,217,1)&lt;&gt;"",),IF(OR(INDEX(OHZ_HAZ_NETGROSS,217,1)="",INDEX(OHZ_HAZ_UNIT,217,1)="",),FALSE,TRUE),TRUE)</f>
        <v>1</v>
      </c>
      <c r="K1224" s="52" t="str">
        <f t="shared" si="40"/>
        <v>Row 217 - For ‘Transport unit’ if ‘Amount’ is given then ‘Gross / Net’ and ‘Amount unit’ are required</v>
      </c>
      <c r="L1224" s="236" t="s">
        <v>1853</v>
      </c>
    </row>
    <row r="1225" spans="7:12">
      <c r="G1225" s="250" t="b">
        <f>IF(OR(INDEX(IHZ_HAZ_AMOUNT,218,1)&lt;&gt;"",),IF(OR(INDEX(IHZ_HAZ_NETGROSS,218,1)="",INDEX(IHZ_HAZ_UNIT,218,1)="",),FALSE,TRUE),TRUE)</f>
        <v>1</v>
      </c>
      <c r="H1225" s="52" t="str">
        <f t="shared" si="39"/>
        <v>Row 218 - For ‘Transport unit’ if ‘Amount’ is given then ‘Gross / Net’ and ‘Amount unit’ are required</v>
      </c>
      <c r="I1225" s="236" t="s">
        <v>1853</v>
      </c>
      <c r="J1225" s="52" t="b">
        <f>IF(OR(INDEX(OHZ_HAZ_AMOUNT,218,1)&lt;&gt;"",),IF(OR(INDEX(OHZ_HAZ_NETGROSS,218,1)="",INDEX(OHZ_HAZ_UNIT,218,1)="",),FALSE,TRUE),TRUE)</f>
        <v>1</v>
      </c>
      <c r="K1225" s="52" t="str">
        <f t="shared" si="40"/>
        <v>Row 218 - For ‘Transport unit’ if ‘Amount’ is given then ‘Gross / Net’ and ‘Amount unit’ are required</v>
      </c>
      <c r="L1225" s="236" t="s">
        <v>1853</v>
      </c>
    </row>
    <row r="1226" spans="7:12">
      <c r="G1226" s="250" t="b">
        <f>IF(OR(INDEX(IHZ_HAZ_AMOUNT,219,1)&lt;&gt;"",),IF(OR(INDEX(IHZ_HAZ_NETGROSS,219,1)="",INDEX(IHZ_HAZ_UNIT,219,1)="",),FALSE,TRUE),TRUE)</f>
        <v>1</v>
      </c>
      <c r="H1226" s="52" t="str">
        <f t="shared" si="39"/>
        <v>Row 219 - For ‘Transport unit’ if ‘Amount’ is given then ‘Gross / Net’ and ‘Amount unit’ are required</v>
      </c>
      <c r="I1226" s="236" t="s">
        <v>1853</v>
      </c>
      <c r="J1226" s="52" t="b">
        <f>IF(OR(INDEX(OHZ_HAZ_AMOUNT,219,1)&lt;&gt;"",),IF(OR(INDEX(OHZ_HAZ_NETGROSS,219,1)="",INDEX(OHZ_HAZ_UNIT,219,1)="",),FALSE,TRUE),TRUE)</f>
        <v>1</v>
      </c>
      <c r="K1226" s="52" t="str">
        <f t="shared" si="40"/>
        <v>Row 219 - For ‘Transport unit’ if ‘Amount’ is given then ‘Gross / Net’ and ‘Amount unit’ are required</v>
      </c>
      <c r="L1226" s="236" t="s">
        <v>1853</v>
      </c>
    </row>
    <row r="1227" spans="7:12">
      <c r="G1227" s="250" t="b">
        <f>IF(OR(INDEX(IHZ_HAZ_AMOUNT,220,1)&lt;&gt;"",),IF(OR(INDEX(IHZ_HAZ_NETGROSS,220,1)="",INDEX(IHZ_HAZ_UNIT,220,1)="",),FALSE,TRUE),TRUE)</f>
        <v>1</v>
      </c>
      <c r="H1227" s="52" t="str">
        <f t="shared" si="39"/>
        <v>Row 220 - For ‘Transport unit’ if ‘Amount’ is given then ‘Gross / Net’ and ‘Amount unit’ are required</v>
      </c>
      <c r="I1227" s="236" t="s">
        <v>1853</v>
      </c>
      <c r="J1227" s="52" t="b">
        <f>IF(OR(INDEX(OHZ_HAZ_AMOUNT,220,1)&lt;&gt;"",),IF(OR(INDEX(OHZ_HAZ_NETGROSS,220,1)="",INDEX(OHZ_HAZ_UNIT,220,1)="",),FALSE,TRUE),TRUE)</f>
        <v>1</v>
      </c>
      <c r="K1227" s="52" t="str">
        <f t="shared" si="40"/>
        <v>Row 220 - For ‘Transport unit’ if ‘Amount’ is given then ‘Gross / Net’ and ‘Amount unit’ are required</v>
      </c>
      <c r="L1227" s="236" t="s">
        <v>1853</v>
      </c>
    </row>
    <row r="1228" spans="7:12">
      <c r="G1228" s="250" t="b">
        <f>IF(OR(INDEX(IHZ_HAZ_AMOUNT,221,1)&lt;&gt;"",),IF(OR(INDEX(IHZ_HAZ_NETGROSS,221,1)="",INDEX(IHZ_HAZ_UNIT,221,1)="",),FALSE,TRUE),TRUE)</f>
        <v>1</v>
      </c>
      <c r="H1228" s="52" t="str">
        <f t="shared" si="39"/>
        <v>Row 221 - For ‘Transport unit’ if ‘Amount’ is given then ‘Gross / Net’ and ‘Amount unit’ are required</v>
      </c>
      <c r="I1228" s="236" t="s">
        <v>1853</v>
      </c>
      <c r="J1228" s="52" t="b">
        <f>IF(OR(INDEX(OHZ_HAZ_AMOUNT,221,1)&lt;&gt;"",),IF(OR(INDEX(OHZ_HAZ_NETGROSS,221,1)="",INDEX(OHZ_HAZ_UNIT,221,1)="",),FALSE,TRUE),TRUE)</f>
        <v>1</v>
      </c>
      <c r="K1228" s="52" t="str">
        <f t="shared" si="40"/>
        <v>Row 221 - For ‘Transport unit’ if ‘Amount’ is given then ‘Gross / Net’ and ‘Amount unit’ are required</v>
      </c>
      <c r="L1228" s="236" t="s">
        <v>1853</v>
      </c>
    </row>
    <row r="1229" spans="7:12">
      <c r="G1229" s="250" t="b">
        <f>IF(OR(INDEX(IHZ_HAZ_AMOUNT,222,1)&lt;&gt;"",),IF(OR(INDEX(IHZ_HAZ_NETGROSS,222,1)="",INDEX(IHZ_HAZ_UNIT,222,1)="",),FALSE,TRUE),TRUE)</f>
        <v>1</v>
      </c>
      <c r="H1229" s="52" t="str">
        <f t="shared" si="39"/>
        <v>Row 222 - For ‘Transport unit’ if ‘Amount’ is given then ‘Gross / Net’ and ‘Amount unit’ are required</v>
      </c>
      <c r="I1229" s="236" t="s">
        <v>1853</v>
      </c>
      <c r="J1229" s="52" t="b">
        <f>IF(OR(INDEX(OHZ_HAZ_AMOUNT,222,1)&lt;&gt;"",),IF(OR(INDEX(OHZ_HAZ_NETGROSS,222,1)="",INDEX(OHZ_HAZ_UNIT,222,1)="",),FALSE,TRUE),TRUE)</f>
        <v>1</v>
      </c>
      <c r="K1229" s="52" t="str">
        <f t="shared" si="40"/>
        <v>Row 222 - For ‘Transport unit’ if ‘Amount’ is given then ‘Gross / Net’ and ‘Amount unit’ are required</v>
      </c>
      <c r="L1229" s="236" t="s">
        <v>1853</v>
      </c>
    </row>
    <row r="1230" spans="7:12">
      <c r="G1230" s="250" t="b">
        <f>IF(OR(INDEX(IHZ_HAZ_AMOUNT,223,1)&lt;&gt;"",),IF(OR(INDEX(IHZ_HAZ_NETGROSS,223,1)="",INDEX(IHZ_HAZ_UNIT,223,1)="",),FALSE,TRUE),TRUE)</f>
        <v>1</v>
      </c>
      <c r="H1230" s="52" t="str">
        <f t="shared" si="39"/>
        <v>Row 223 - For ‘Transport unit’ if ‘Amount’ is given then ‘Gross / Net’ and ‘Amount unit’ are required</v>
      </c>
      <c r="I1230" s="236" t="s">
        <v>1853</v>
      </c>
      <c r="J1230" s="52" t="b">
        <f>IF(OR(INDEX(OHZ_HAZ_AMOUNT,223,1)&lt;&gt;"",),IF(OR(INDEX(OHZ_HAZ_NETGROSS,223,1)="",INDEX(OHZ_HAZ_UNIT,223,1)="",),FALSE,TRUE),TRUE)</f>
        <v>1</v>
      </c>
      <c r="K1230" s="52" t="str">
        <f t="shared" si="40"/>
        <v>Row 223 - For ‘Transport unit’ if ‘Amount’ is given then ‘Gross / Net’ and ‘Amount unit’ are required</v>
      </c>
      <c r="L1230" s="236" t="s">
        <v>1853</v>
      </c>
    </row>
    <row r="1231" spans="7:12">
      <c r="G1231" s="250" t="b">
        <f>IF(OR(INDEX(IHZ_HAZ_AMOUNT,224,1)&lt;&gt;"",),IF(OR(INDEX(IHZ_HAZ_NETGROSS,224,1)="",INDEX(IHZ_HAZ_UNIT,224,1)="",),FALSE,TRUE),TRUE)</f>
        <v>1</v>
      </c>
      <c r="H1231" s="52" t="str">
        <f t="shared" si="39"/>
        <v>Row 224 - For ‘Transport unit’ if ‘Amount’ is given then ‘Gross / Net’ and ‘Amount unit’ are required</v>
      </c>
      <c r="I1231" s="236" t="s">
        <v>1853</v>
      </c>
      <c r="J1231" s="52" t="b">
        <f>IF(OR(INDEX(OHZ_HAZ_AMOUNT,224,1)&lt;&gt;"",),IF(OR(INDEX(OHZ_HAZ_NETGROSS,224,1)="",INDEX(OHZ_HAZ_UNIT,224,1)="",),FALSE,TRUE),TRUE)</f>
        <v>1</v>
      </c>
      <c r="K1231" s="52" t="str">
        <f t="shared" si="40"/>
        <v>Row 224 - For ‘Transport unit’ if ‘Amount’ is given then ‘Gross / Net’ and ‘Amount unit’ are required</v>
      </c>
      <c r="L1231" s="236" t="s">
        <v>1853</v>
      </c>
    </row>
    <row r="1232" spans="7:12">
      <c r="G1232" s="250" t="b">
        <f>IF(OR(INDEX(IHZ_HAZ_AMOUNT,225,1)&lt;&gt;"",),IF(OR(INDEX(IHZ_HAZ_NETGROSS,225,1)="",INDEX(IHZ_HAZ_UNIT,225,1)="",),FALSE,TRUE),TRUE)</f>
        <v>1</v>
      </c>
      <c r="H1232" s="52" t="str">
        <f t="shared" si="39"/>
        <v>Row 225 - For ‘Transport unit’ if ‘Amount’ is given then ‘Gross / Net’ and ‘Amount unit’ are required</v>
      </c>
      <c r="I1232" s="236" t="s">
        <v>1853</v>
      </c>
      <c r="J1232" s="52" t="b">
        <f>IF(OR(INDEX(OHZ_HAZ_AMOUNT,225,1)&lt;&gt;"",),IF(OR(INDEX(OHZ_HAZ_NETGROSS,225,1)="",INDEX(OHZ_HAZ_UNIT,225,1)="",),FALSE,TRUE),TRUE)</f>
        <v>1</v>
      </c>
      <c r="K1232" s="52" t="str">
        <f t="shared" si="40"/>
        <v>Row 225 - For ‘Transport unit’ if ‘Amount’ is given then ‘Gross / Net’ and ‘Amount unit’ are required</v>
      </c>
      <c r="L1232" s="236" t="s">
        <v>1853</v>
      </c>
    </row>
    <row r="1233" spans="7:12">
      <c r="G1233" s="250" t="b">
        <f>IF(OR(INDEX(IHZ_HAZ_AMOUNT,226,1)&lt;&gt;"",),IF(OR(INDEX(IHZ_HAZ_NETGROSS,226,1)="",INDEX(IHZ_HAZ_UNIT,226,1)="",),FALSE,TRUE),TRUE)</f>
        <v>1</v>
      </c>
      <c r="H1233" s="52" t="str">
        <f t="shared" si="39"/>
        <v>Row 226 - For ‘Transport unit’ if ‘Amount’ is given then ‘Gross / Net’ and ‘Amount unit’ are required</v>
      </c>
      <c r="I1233" s="236" t="s">
        <v>1853</v>
      </c>
      <c r="J1233" s="52" t="b">
        <f>IF(OR(INDEX(OHZ_HAZ_AMOUNT,226,1)&lt;&gt;"",),IF(OR(INDEX(OHZ_HAZ_NETGROSS,226,1)="",INDEX(OHZ_HAZ_UNIT,226,1)="",),FALSE,TRUE),TRUE)</f>
        <v>1</v>
      </c>
      <c r="K1233" s="52" t="str">
        <f t="shared" si="40"/>
        <v>Row 226 - For ‘Transport unit’ if ‘Amount’ is given then ‘Gross / Net’ and ‘Amount unit’ are required</v>
      </c>
      <c r="L1233" s="236" t="s">
        <v>1853</v>
      </c>
    </row>
    <row r="1234" spans="7:12">
      <c r="G1234" s="250" t="b">
        <f>IF(OR(INDEX(IHZ_HAZ_AMOUNT,227,1)&lt;&gt;"",),IF(OR(INDEX(IHZ_HAZ_NETGROSS,227,1)="",INDEX(IHZ_HAZ_UNIT,227,1)="",),FALSE,TRUE),TRUE)</f>
        <v>1</v>
      </c>
      <c r="H1234" s="52" t="str">
        <f t="shared" si="39"/>
        <v>Row 227 - For ‘Transport unit’ if ‘Amount’ is given then ‘Gross / Net’ and ‘Amount unit’ are required</v>
      </c>
      <c r="I1234" s="236" t="s">
        <v>1853</v>
      </c>
      <c r="J1234" s="52" t="b">
        <f>IF(OR(INDEX(OHZ_HAZ_AMOUNT,227,1)&lt;&gt;"",),IF(OR(INDEX(OHZ_HAZ_NETGROSS,227,1)="",INDEX(OHZ_HAZ_UNIT,227,1)="",),FALSE,TRUE),TRUE)</f>
        <v>1</v>
      </c>
      <c r="K1234" s="52" t="str">
        <f t="shared" si="40"/>
        <v>Row 227 - For ‘Transport unit’ if ‘Amount’ is given then ‘Gross / Net’ and ‘Amount unit’ are required</v>
      </c>
      <c r="L1234" s="236" t="s">
        <v>1853</v>
      </c>
    </row>
    <row r="1235" spans="7:12">
      <c r="G1235" s="250" t="b">
        <f>IF(OR(INDEX(IHZ_HAZ_AMOUNT,228,1)&lt;&gt;"",),IF(OR(INDEX(IHZ_HAZ_NETGROSS,228,1)="",INDEX(IHZ_HAZ_UNIT,228,1)="",),FALSE,TRUE),TRUE)</f>
        <v>1</v>
      </c>
      <c r="H1235" s="52" t="str">
        <f t="shared" si="39"/>
        <v>Row 228 - For ‘Transport unit’ if ‘Amount’ is given then ‘Gross / Net’ and ‘Amount unit’ are required</v>
      </c>
      <c r="I1235" s="236" t="s">
        <v>1853</v>
      </c>
      <c r="J1235" s="52" t="b">
        <f>IF(OR(INDEX(OHZ_HAZ_AMOUNT,228,1)&lt;&gt;"",),IF(OR(INDEX(OHZ_HAZ_NETGROSS,228,1)="",INDEX(OHZ_HAZ_UNIT,228,1)="",),FALSE,TRUE),TRUE)</f>
        <v>1</v>
      </c>
      <c r="K1235" s="52" t="str">
        <f t="shared" si="40"/>
        <v>Row 228 - For ‘Transport unit’ if ‘Amount’ is given then ‘Gross / Net’ and ‘Amount unit’ are required</v>
      </c>
      <c r="L1235" s="236" t="s">
        <v>1853</v>
      </c>
    </row>
    <row r="1236" spans="7:12">
      <c r="G1236" s="250" t="b">
        <f>IF(OR(INDEX(IHZ_HAZ_AMOUNT,229,1)&lt;&gt;"",),IF(OR(INDEX(IHZ_HAZ_NETGROSS,229,1)="",INDEX(IHZ_HAZ_UNIT,229,1)="",),FALSE,TRUE),TRUE)</f>
        <v>1</v>
      </c>
      <c r="H1236" s="52" t="str">
        <f t="shared" si="39"/>
        <v>Row 229 - For ‘Transport unit’ if ‘Amount’ is given then ‘Gross / Net’ and ‘Amount unit’ are required</v>
      </c>
      <c r="I1236" s="236" t="s">
        <v>1853</v>
      </c>
      <c r="J1236" s="52" t="b">
        <f>IF(OR(INDEX(OHZ_HAZ_AMOUNT,229,1)&lt;&gt;"",),IF(OR(INDEX(OHZ_HAZ_NETGROSS,229,1)="",INDEX(OHZ_HAZ_UNIT,229,1)="",),FALSE,TRUE),TRUE)</f>
        <v>1</v>
      </c>
      <c r="K1236" s="52" t="str">
        <f t="shared" si="40"/>
        <v>Row 229 - For ‘Transport unit’ if ‘Amount’ is given then ‘Gross / Net’ and ‘Amount unit’ are required</v>
      </c>
      <c r="L1236" s="236" t="s">
        <v>1853</v>
      </c>
    </row>
    <row r="1237" spans="7:12">
      <c r="G1237" s="250" t="b">
        <f>IF(OR(INDEX(IHZ_HAZ_AMOUNT,230,1)&lt;&gt;"",),IF(OR(INDEX(IHZ_HAZ_NETGROSS,230,1)="",INDEX(IHZ_HAZ_UNIT,230,1)="",),FALSE,TRUE),TRUE)</f>
        <v>1</v>
      </c>
      <c r="H1237" s="52" t="str">
        <f t="shared" si="39"/>
        <v>Row 230 - For ‘Transport unit’ if ‘Amount’ is given then ‘Gross / Net’ and ‘Amount unit’ are required</v>
      </c>
      <c r="I1237" s="236" t="s">
        <v>1853</v>
      </c>
      <c r="J1237" s="52" t="b">
        <f>IF(OR(INDEX(OHZ_HAZ_AMOUNT,230,1)&lt;&gt;"",),IF(OR(INDEX(OHZ_HAZ_NETGROSS,230,1)="",INDEX(OHZ_HAZ_UNIT,230,1)="",),FALSE,TRUE),TRUE)</f>
        <v>1</v>
      </c>
      <c r="K1237" s="52" t="str">
        <f t="shared" si="40"/>
        <v>Row 230 - For ‘Transport unit’ if ‘Amount’ is given then ‘Gross / Net’ and ‘Amount unit’ are required</v>
      </c>
      <c r="L1237" s="236" t="s">
        <v>1853</v>
      </c>
    </row>
    <row r="1238" spans="7:12">
      <c r="G1238" s="250" t="b">
        <f>IF(OR(INDEX(IHZ_HAZ_AMOUNT,231,1)&lt;&gt;"",),IF(OR(INDEX(IHZ_HAZ_NETGROSS,231,1)="",INDEX(IHZ_HAZ_UNIT,231,1)="",),FALSE,TRUE),TRUE)</f>
        <v>1</v>
      </c>
      <c r="H1238" s="52" t="str">
        <f t="shared" si="39"/>
        <v>Row 231 - For ‘Transport unit’ if ‘Amount’ is given then ‘Gross / Net’ and ‘Amount unit’ are required</v>
      </c>
      <c r="I1238" s="236" t="s">
        <v>1853</v>
      </c>
      <c r="J1238" s="52" t="b">
        <f>IF(OR(INDEX(OHZ_HAZ_AMOUNT,231,1)&lt;&gt;"",),IF(OR(INDEX(OHZ_HAZ_NETGROSS,231,1)="",INDEX(OHZ_HAZ_UNIT,231,1)="",),FALSE,TRUE),TRUE)</f>
        <v>1</v>
      </c>
      <c r="K1238" s="52" t="str">
        <f t="shared" si="40"/>
        <v>Row 231 - For ‘Transport unit’ if ‘Amount’ is given then ‘Gross / Net’ and ‘Amount unit’ are required</v>
      </c>
      <c r="L1238" s="236" t="s">
        <v>1853</v>
      </c>
    </row>
    <row r="1239" spans="7:12">
      <c r="G1239" s="250" t="b">
        <f>IF(OR(INDEX(IHZ_HAZ_AMOUNT,232,1)&lt;&gt;"",),IF(OR(INDEX(IHZ_HAZ_NETGROSS,232,1)="",INDEX(IHZ_HAZ_UNIT,232,1)="",),FALSE,TRUE),TRUE)</f>
        <v>1</v>
      </c>
      <c r="H1239" s="52" t="str">
        <f t="shared" si="39"/>
        <v>Row 232 - For ‘Transport unit’ if ‘Amount’ is given then ‘Gross / Net’ and ‘Amount unit’ are required</v>
      </c>
      <c r="I1239" s="236" t="s">
        <v>1853</v>
      </c>
      <c r="J1239" s="52" t="b">
        <f>IF(OR(INDEX(OHZ_HAZ_AMOUNT,232,1)&lt;&gt;"",),IF(OR(INDEX(OHZ_HAZ_NETGROSS,232,1)="",INDEX(OHZ_HAZ_UNIT,232,1)="",),FALSE,TRUE),TRUE)</f>
        <v>1</v>
      </c>
      <c r="K1239" s="52" t="str">
        <f t="shared" si="40"/>
        <v>Row 232 - For ‘Transport unit’ if ‘Amount’ is given then ‘Gross / Net’ and ‘Amount unit’ are required</v>
      </c>
      <c r="L1239" s="236" t="s">
        <v>1853</v>
      </c>
    </row>
    <row r="1240" spans="7:12">
      <c r="G1240" s="250" t="b">
        <f>IF(OR(INDEX(IHZ_HAZ_AMOUNT,233,1)&lt;&gt;"",),IF(OR(INDEX(IHZ_HAZ_NETGROSS,233,1)="",INDEX(IHZ_HAZ_UNIT,233,1)="",),FALSE,TRUE),TRUE)</f>
        <v>1</v>
      </c>
      <c r="H1240" s="52" t="str">
        <f t="shared" si="39"/>
        <v>Row 233 - For ‘Transport unit’ if ‘Amount’ is given then ‘Gross / Net’ and ‘Amount unit’ are required</v>
      </c>
      <c r="I1240" s="236" t="s">
        <v>1853</v>
      </c>
      <c r="J1240" s="52" t="b">
        <f>IF(OR(INDEX(OHZ_HAZ_AMOUNT,233,1)&lt;&gt;"",),IF(OR(INDEX(OHZ_HAZ_NETGROSS,233,1)="",INDEX(OHZ_HAZ_UNIT,233,1)="",),FALSE,TRUE),TRUE)</f>
        <v>1</v>
      </c>
      <c r="K1240" s="52" t="str">
        <f t="shared" si="40"/>
        <v>Row 233 - For ‘Transport unit’ if ‘Amount’ is given then ‘Gross / Net’ and ‘Amount unit’ are required</v>
      </c>
      <c r="L1240" s="236" t="s">
        <v>1853</v>
      </c>
    </row>
    <row r="1241" spans="7:12">
      <c r="G1241" s="250" t="b">
        <f>IF(OR(INDEX(IHZ_HAZ_AMOUNT,234,1)&lt;&gt;"",),IF(OR(INDEX(IHZ_HAZ_NETGROSS,234,1)="",INDEX(IHZ_HAZ_UNIT,234,1)="",),FALSE,TRUE),TRUE)</f>
        <v>1</v>
      </c>
      <c r="H1241" s="52" t="str">
        <f t="shared" si="39"/>
        <v>Row 234 - For ‘Transport unit’ if ‘Amount’ is given then ‘Gross / Net’ and ‘Amount unit’ are required</v>
      </c>
      <c r="I1241" s="236" t="s">
        <v>1853</v>
      </c>
      <c r="J1241" s="52" t="b">
        <f>IF(OR(INDEX(OHZ_HAZ_AMOUNT,234,1)&lt;&gt;"",),IF(OR(INDEX(OHZ_HAZ_NETGROSS,234,1)="",INDEX(OHZ_HAZ_UNIT,234,1)="",),FALSE,TRUE),TRUE)</f>
        <v>1</v>
      </c>
      <c r="K1241" s="52" t="str">
        <f t="shared" si="40"/>
        <v>Row 234 - For ‘Transport unit’ if ‘Amount’ is given then ‘Gross / Net’ and ‘Amount unit’ are required</v>
      </c>
      <c r="L1241" s="236" t="s">
        <v>1853</v>
      </c>
    </row>
    <row r="1242" spans="7:12">
      <c r="G1242" s="250" t="b">
        <f>IF(OR(INDEX(IHZ_HAZ_AMOUNT,235,1)&lt;&gt;"",),IF(OR(INDEX(IHZ_HAZ_NETGROSS,235,1)="",INDEX(IHZ_HAZ_UNIT,235,1)="",),FALSE,TRUE),TRUE)</f>
        <v>1</v>
      </c>
      <c r="H1242" s="52" t="str">
        <f t="shared" si="39"/>
        <v>Row 235 - For ‘Transport unit’ if ‘Amount’ is given then ‘Gross / Net’ and ‘Amount unit’ are required</v>
      </c>
      <c r="I1242" s="236" t="s">
        <v>1853</v>
      </c>
      <c r="J1242" s="52" t="b">
        <f>IF(OR(INDEX(OHZ_HAZ_AMOUNT,235,1)&lt;&gt;"",),IF(OR(INDEX(OHZ_HAZ_NETGROSS,235,1)="",INDEX(OHZ_HAZ_UNIT,235,1)="",),FALSE,TRUE),TRUE)</f>
        <v>1</v>
      </c>
      <c r="K1242" s="52" t="str">
        <f t="shared" si="40"/>
        <v>Row 235 - For ‘Transport unit’ if ‘Amount’ is given then ‘Gross / Net’ and ‘Amount unit’ are required</v>
      </c>
      <c r="L1242" s="236" t="s">
        <v>1853</v>
      </c>
    </row>
    <row r="1243" spans="7:12">
      <c r="G1243" s="250" t="b">
        <f>IF(OR(INDEX(IHZ_HAZ_AMOUNT,236,1)&lt;&gt;"",),IF(OR(INDEX(IHZ_HAZ_NETGROSS,236,1)="",INDEX(IHZ_HAZ_UNIT,236,1)="",),FALSE,TRUE),TRUE)</f>
        <v>1</v>
      </c>
      <c r="H1243" s="52" t="str">
        <f t="shared" si="39"/>
        <v>Row 236 - For ‘Transport unit’ if ‘Amount’ is given then ‘Gross / Net’ and ‘Amount unit’ are required</v>
      </c>
      <c r="I1243" s="236" t="s">
        <v>1853</v>
      </c>
      <c r="J1243" s="52" t="b">
        <f>IF(OR(INDEX(OHZ_HAZ_AMOUNT,236,1)&lt;&gt;"",),IF(OR(INDEX(OHZ_HAZ_NETGROSS,236,1)="",INDEX(OHZ_HAZ_UNIT,236,1)="",),FALSE,TRUE),TRUE)</f>
        <v>1</v>
      </c>
      <c r="K1243" s="52" t="str">
        <f t="shared" si="40"/>
        <v>Row 236 - For ‘Transport unit’ if ‘Amount’ is given then ‘Gross / Net’ and ‘Amount unit’ are required</v>
      </c>
      <c r="L1243" s="236" t="s">
        <v>1853</v>
      </c>
    </row>
    <row r="1244" spans="7:12">
      <c r="G1244" s="250" t="b">
        <f>IF(OR(INDEX(IHZ_HAZ_AMOUNT,237,1)&lt;&gt;"",),IF(OR(INDEX(IHZ_HAZ_NETGROSS,237,1)="",INDEX(IHZ_HAZ_UNIT,237,1)="",),FALSE,TRUE),TRUE)</f>
        <v>1</v>
      </c>
      <c r="H1244" s="52" t="str">
        <f t="shared" si="39"/>
        <v>Row 237 - For ‘Transport unit’ if ‘Amount’ is given then ‘Gross / Net’ and ‘Amount unit’ are required</v>
      </c>
      <c r="I1244" s="236" t="s">
        <v>1853</v>
      </c>
      <c r="J1244" s="52" t="b">
        <f>IF(OR(INDEX(OHZ_HAZ_AMOUNT,237,1)&lt;&gt;"",),IF(OR(INDEX(OHZ_HAZ_NETGROSS,237,1)="",INDEX(OHZ_HAZ_UNIT,237,1)="",),FALSE,TRUE),TRUE)</f>
        <v>1</v>
      </c>
      <c r="K1244" s="52" t="str">
        <f t="shared" si="40"/>
        <v>Row 237 - For ‘Transport unit’ if ‘Amount’ is given then ‘Gross / Net’ and ‘Amount unit’ are required</v>
      </c>
      <c r="L1244" s="236" t="s">
        <v>1853</v>
      </c>
    </row>
    <row r="1245" spans="7:12">
      <c r="G1245" s="250" t="b">
        <f>IF(OR(INDEX(IHZ_HAZ_AMOUNT,238,1)&lt;&gt;"",),IF(OR(INDEX(IHZ_HAZ_NETGROSS,238,1)="",INDEX(IHZ_HAZ_UNIT,238,1)="",),FALSE,TRUE),TRUE)</f>
        <v>1</v>
      </c>
      <c r="H1245" s="52" t="str">
        <f t="shared" si="39"/>
        <v>Row 238 - For ‘Transport unit’ if ‘Amount’ is given then ‘Gross / Net’ and ‘Amount unit’ are required</v>
      </c>
      <c r="I1245" s="236" t="s">
        <v>1853</v>
      </c>
      <c r="J1245" s="52" t="b">
        <f>IF(OR(INDEX(OHZ_HAZ_AMOUNT,238,1)&lt;&gt;"",),IF(OR(INDEX(OHZ_HAZ_NETGROSS,238,1)="",INDEX(OHZ_HAZ_UNIT,238,1)="",),FALSE,TRUE),TRUE)</f>
        <v>1</v>
      </c>
      <c r="K1245" s="52" t="str">
        <f t="shared" si="40"/>
        <v>Row 238 - For ‘Transport unit’ if ‘Amount’ is given then ‘Gross / Net’ and ‘Amount unit’ are required</v>
      </c>
      <c r="L1245" s="236" t="s">
        <v>1853</v>
      </c>
    </row>
    <row r="1246" spans="7:12">
      <c r="G1246" s="250" t="b">
        <f>IF(OR(INDEX(IHZ_HAZ_AMOUNT,239,1)&lt;&gt;"",),IF(OR(INDEX(IHZ_HAZ_NETGROSS,239,1)="",INDEX(IHZ_HAZ_UNIT,239,1)="",),FALSE,TRUE),TRUE)</f>
        <v>1</v>
      </c>
      <c r="H1246" s="52" t="str">
        <f t="shared" si="39"/>
        <v>Row 239 - For ‘Transport unit’ if ‘Amount’ is given then ‘Gross / Net’ and ‘Amount unit’ are required</v>
      </c>
      <c r="I1246" s="236" t="s">
        <v>1853</v>
      </c>
      <c r="J1246" s="52" t="b">
        <f>IF(OR(INDEX(OHZ_HAZ_AMOUNT,239,1)&lt;&gt;"",),IF(OR(INDEX(OHZ_HAZ_NETGROSS,239,1)="",INDEX(OHZ_HAZ_UNIT,239,1)="",),FALSE,TRUE),TRUE)</f>
        <v>1</v>
      </c>
      <c r="K1246" s="52" t="str">
        <f t="shared" si="40"/>
        <v>Row 239 - For ‘Transport unit’ if ‘Amount’ is given then ‘Gross / Net’ and ‘Amount unit’ are required</v>
      </c>
      <c r="L1246" s="236" t="s">
        <v>1853</v>
      </c>
    </row>
    <row r="1247" spans="7:12">
      <c r="G1247" s="250" t="b">
        <f>IF(OR(INDEX(IHZ_HAZ_AMOUNT,240,1)&lt;&gt;"",),IF(OR(INDEX(IHZ_HAZ_NETGROSS,240,1)="",INDEX(IHZ_HAZ_UNIT,240,1)="",),FALSE,TRUE),TRUE)</f>
        <v>1</v>
      </c>
      <c r="H1247" s="52" t="str">
        <f t="shared" si="39"/>
        <v>Row 240 - For ‘Transport unit’ if ‘Amount’ is given then ‘Gross / Net’ and ‘Amount unit’ are required</v>
      </c>
      <c r="I1247" s="236" t="s">
        <v>1853</v>
      </c>
      <c r="J1247" s="52" t="b">
        <f>IF(OR(INDEX(OHZ_HAZ_AMOUNT,240,1)&lt;&gt;"",),IF(OR(INDEX(OHZ_HAZ_NETGROSS,240,1)="",INDEX(OHZ_HAZ_UNIT,240,1)="",),FALSE,TRUE),TRUE)</f>
        <v>1</v>
      </c>
      <c r="K1247" s="52" t="str">
        <f t="shared" si="40"/>
        <v>Row 240 - For ‘Transport unit’ if ‘Amount’ is given then ‘Gross / Net’ and ‘Amount unit’ are required</v>
      </c>
      <c r="L1247" s="236" t="s">
        <v>1853</v>
      </c>
    </row>
    <row r="1248" spans="7:12">
      <c r="G1248" s="250" t="b">
        <f>IF(OR(INDEX(IHZ_HAZ_AMOUNT,241,1)&lt;&gt;"",),IF(OR(INDEX(IHZ_HAZ_NETGROSS,241,1)="",INDEX(IHZ_HAZ_UNIT,241,1)="",),FALSE,TRUE),TRUE)</f>
        <v>1</v>
      </c>
      <c r="H1248" s="52" t="str">
        <f t="shared" si="39"/>
        <v>Row 241 - For ‘Transport unit’ if ‘Amount’ is given then ‘Gross / Net’ and ‘Amount unit’ are required</v>
      </c>
      <c r="I1248" s="236" t="s">
        <v>1853</v>
      </c>
      <c r="J1248" s="52" t="b">
        <f>IF(OR(INDEX(OHZ_HAZ_AMOUNT,241,1)&lt;&gt;"",),IF(OR(INDEX(OHZ_HAZ_NETGROSS,241,1)="",INDEX(OHZ_HAZ_UNIT,241,1)="",),FALSE,TRUE),TRUE)</f>
        <v>1</v>
      </c>
      <c r="K1248" s="52" t="str">
        <f t="shared" si="40"/>
        <v>Row 241 - For ‘Transport unit’ if ‘Amount’ is given then ‘Gross / Net’ and ‘Amount unit’ are required</v>
      </c>
      <c r="L1248" s="236" t="s">
        <v>1853</v>
      </c>
    </row>
    <row r="1249" spans="7:12">
      <c r="G1249" s="250" t="b">
        <f>IF(OR(INDEX(IHZ_HAZ_AMOUNT,242,1)&lt;&gt;"",),IF(OR(INDEX(IHZ_HAZ_NETGROSS,242,1)="",INDEX(IHZ_HAZ_UNIT,242,1)="",),FALSE,TRUE),TRUE)</f>
        <v>1</v>
      </c>
      <c r="H1249" s="52" t="str">
        <f t="shared" si="39"/>
        <v>Row 242 - For ‘Transport unit’ if ‘Amount’ is given then ‘Gross / Net’ and ‘Amount unit’ are required</v>
      </c>
      <c r="I1249" s="236" t="s">
        <v>1853</v>
      </c>
      <c r="J1249" s="52" t="b">
        <f>IF(OR(INDEX(OHZ_HAZ_AMOUNT,242,1)&lt;&gt;"",),IF(OR(INDEX(OHZ_HAZ_NETGROSS,242,1)="",INDEX(OHZ_HAZ_UNIT,242,1)="",),FALSE,TRUE),TRUE)</f>
        <v>1</v>
      </c>
      <c r="K1249" s="52" t="str">
        <f t="shared" si="40"/>
        <v>Row 242 - For ‘Transport unit’ if ‘Amount’ is given then ‘Gross / Net’ and ‘Amount unit’ are required</v>
      </c>
      <c r="L1249" s="236" t="s">
        <v>1853</v>
      </c>
    </row>
    <row r="1250" spans="7:12">
      <c r="G1250" s="250" t="b">
        <f>IF(OR(INDEX(IHZ_HAZ_AMOUNT,243,1)&lt;&gt;"",),IF(OR(INDEX(IHZ_HAZ_NETGROSS,243,1)="",INDEX(IHZ_HAZ_UNIT,243,1)="",),FALSE,TRUE),TRUE)</f>
        <v>1</v>
      </c>
      <c r="H1250" s="52" t="str">
        <f t="shared" si="39"/>
        <v>Row 243 - For ‘Transport unit’ if ‘Amount’ is given then ‘Gross / Net’ and ‘Amount unit’ are required</v>
      </c>
      <c r="I1250" s="236" t="s">
        <v>1853</v>
      </c>
      <c r="J1250" s="52" t="b">
        <f>IF(OR(INDEX(OHZ_HAZ_AMOUNT,243,1)&lt;&gt;"",),IF(OR(INDEX(OHZ_HAZ_NETGROSS,243,1)="",INDEX(OHZ_HAZ_UNIT,243,1)="",),FALSE,TRUE),TRUE)</f>
        <v>1</v>
      </c>
      <c r="K1250" s="52" t="str">
        <f t="shared" si="40"/>
        <v>Row 243 - For ‘Transport unit’ if ‘Amount’ is given then ‘Gross / Net’ and ‘Amount unit’ are required</v>
      </c>
      <c r="L1250" s="236" t="s">
        <v>1853</v>
      </c>
    </row>
    <row r="1251" spans="7:12">
      <c r="G1251" s="250" t="b">
        <f>IF(OR(INDEX(IHZ_HAZ_AMOUNT,244,1)&lt;&gt;"",),IF(OR(INDEX(IHZ_HAZ_NETGROSS,244,1)="",INDEX(IHZ_HAZ_UNIT,244,1)="",),FALSE,TRUE),TRUE)</f>
        <v>1</v>
      </c>
      <c r="H1251" s="52" t="str">
        <f t="shared" si="39"/>
        <v>Row 244 - For ‘Transport unit’ if ‘Amount’ is given then ‘Gross / Net’ and ‘Amount unit’ are required</v>
      </c>
      <c r="I1251" s="236" t="s">
        <v>1853</v>
      </c>
      <c r="J1251" s="52" t="b">
        <f>IF(OR(INDEX(OHZ_HAZ_AMOUNT,244,1)&lt;&gt;"",),IF(OR(INDEX(OHZ_HAZ_NETGROSS,244,1)="",INDEX(OHZ_HAZ_UNIT,244,1)="",),FALSE,TRUE),TRUE)</f>
        <v>1</v>
      </c>
      <c r="K1251" s="52" t="str">
        <f t="shared" si="40"/>
        <v>Row 244 - For ‘Transport unit’ if ‘Amount’ is given then ‘Gross / Net’ and ‘Amount unit’ are required</v>
      </c>
      <c r="L1251" s="236" t="s">
        <v>1853</v>
      </c>
    </row>
    <row r="1252" spans="7:12">
      <c r="G1252" s="250" t="b">
        <f>IF(OR(INDEX(IHZ_HAZ_AMOUNT,245,1)&lt;&gt;"",),IF(OR(INDEX(IHZ_HAZ_NETGROSS,245,1)="",INDEX(IHZ_HAZ_UNIT,245,1)="",),FALSE,TRUE),TRUE)</f>
        <v>1</v>
      </c>
      <c r="H1252" s="52" t="str">
        <f t="shared" si="39"/>
        <v>Row 245 - For ‘Transport unit’ if ‘Amount’ is given then ‘Gross / Net’ and ‘Amount unit’ are required</v>
      </c>
      <c r="I1252" s="236" t="s">
        <v>1853</v>
      </c>
      <c r="J1252" s="52" t="b">
        <f>IF(OR(INDEX(OHZ_HAZ_AMOUNT,245,1)&lt;&gt;"",),IF(OR(INDEX(OHZ_HAZ_NETGROSS,245,1)="",INDEX(OHZ_HAZ_UNIT,245,1)="",),FALSE,TRUE),TRUE)</f>
        <v>1</v>
      </c>
      <c r="K1252" s="52" t="str">
        <f t="shared" si="40"/>
        <v>Row 245 - For ‘Transport unit’ if ‘Amount’ is given then ‘Gross / Net’ and ‘Amount unit’ are required</v>
      </c>
      <c r="L1252" s="236" t="s">
        <v>1853</v>
      </c>
    </row>
    <row r="1253" spans="7:12">
      <c r="G1253" s="250" t="b">
        <f>IF(OR(INDEX(IHZ_HAZ_AMOUNT,246,1)&lt;&gt;"",),IF(OR(INDEX(IHZ_HAZ_NETGROSS,246,1)="",INDEX(IHZ_HAZ_UNIT,246,1)="",),FALSE,TRUE),TRUE)</f>
        <v>1</v>
      </c>
      <c r="H1253" s="52" t="str">
        <f t="shared" si="39"/>
        <v>Row 246 - For ‘Transport unit’ if ‘Amount’ is given then ‘Gross / Net’ and ‘Amount unit’ are required</v>
      </c>
      <c r="I1253" s="236" t="s">
        <v>1853</v>
      </c>
      <c r="J1253" s="52" t="b">
        <f>IF(OR(INDEX(OHZ_HAZ_AMOUNT,246,1)&lt;&gt;"",),IF(OR(INDEX(OHZ_HAZ_NETGROSS,246,1)="",INDEX(OHZ_HAZ_UNIT,246,1)="",),FALSE,TRUE),TRUE)</f>
        <v>1</v>
      </c>
      <c r="K1253" s="52" t="str">
        <f t="shared" si="40"/>
        <v>Row 246 - For ‘Transport unit’ if ‘Amount’ is given then ‘Gross / Net’ and ‘Amount unit’ are required</v>
      </c>
      <c r="L1253" s="236" t="s">
        <v>1853</v>
      </c>
    </row>
    <row r="1254" spans="7:12">
      <c r="G1254" s="250" t="b">
        <f>IF(OR(INDEX(IHZ_HAZ_AMOUNT,247,1)&lt;&gt;"",),IF(OR(INDEX(IHZ_HAZ_NETGROSS,247,1)="",INDEX(IHZ_HAZ_UNIT,247,1)="",),FALSE,TRUE),TRUE)</f>
        <v>1</v>
      </c>
      <c r="H1254" s="52" t="str">
        <f t="shared" si="39"/>
        <v>Row 247 - For ‘Transport unit’ if ‘Amount’ is given then ‘Gross / Net’ and ‘Amount unit’ are required</v>
      </c>
      <c r="I1254" s="236" t="s">
        <v>1853</v>
      </c>
      <c r="J1254" s="52" t="b">
        <f>IF(OR(INDEX(OHZ_HAZ_AMOUNT,247,1)&lt;&gt;"",),IF(OR(INDEX(OHZ_HAZ_NETGROSS,247,1)="",INDEX(OHZ_HAZ_UNIT,247,1)="",),FALSE,TRUE),TRUE)</f>
        <v>1</v>
      </c>
      <c r="K1254" s="52" t="str">
        <f t="shared" si="40"/>
        <v>Row 247 - For ‘Transport unit’ if ‘Amount’ is given then ‘Gross / Net’ and ‘Amount unit’ are required</v>
      </c>
      <c r="L1254" s="236" t="s">
        <v>1853</v>
      </c>
    </row>
    <row r="1255" spans="7:12">
      <c r="G1255" s="250" t="b">
        <f>IF(OR(INDEX(IHZ_HAZ_AMOUNT,248,1)&lt;&gt;"",),IF(OR(INDEX(IHZ_HAZ_NETGROSS,248,1)="",INDEX(IHZ_HAZ_UNIT,248,1)="",),FALSE,TRUE),TRUE)</f>
        <v>1</v>
      </c>
      <c r="H1255" s="52" t="str">
        <f t="shared" si="39"/>
        <v>Row 248 - For ‘Transport unit’ if ‘Amount’ is given then ‘Gross / Net’ and ‘Amount unit’ are required</v>
      </c>
      <c r="I1255" s="236" t="s">
        <v>1853</v>
      </c>
      <c r="J1255" s="52" t="b">
        <f>IF(OR(INDEX(OHZ_HAZ_AMOUNT,248,1)&lt;&gt;"",),IF(OR(INDEX(OHZ_HAZ_NETGROSS,248,1)="",INDEX(OHZ_HAZ_UNIT,248,1)="",),FALSE,TRUE),TRUE)</f>
        <v>1</v>
      </c>
      <c r="K1255" s="52" t="str">
        <f t="shared" si="40"/>
        <v>Row 248 - For ‘Transport unit’ if ‘Amount’ is given then ‘Gross / Net’ and ‘Amount unit’ are required</v>
      </c>
      <c r="L1255" s="236" t="s">
        <v>1853</v>
      </c>
    </row>
    <row r="1256" spans="7:12">
      <c r="G1256" s="250" t="b">
        <f>IF(OR(INDEX(IHZ_HAZ_AMOUNT,249,1)&lt;&gt;"",),IF(OR(INDEX(IHZ_HAZ_NETGROSS,249,1)="",INDEX(IHZ_HAZ_UNIT,249,1)="",),FALSE,TRUE),TRUE)</f>
        <v>1</v>
      </c>
      <c r="H1256" s="52" t="str">
        <f t="shared" si="39"/>
        <v>Row 249 - For ‘Transport unit’ if ‘Amount’ is given then ‘Gross / Net’ and ‘Amount unit’ are required</v>
      </c>
      <c r="I1256" s="236" t="s">
        <v>1853</v>
      </c>
      <c r="J1256" s="52" t="b">
        <f>IF(OR(INDEX(OHZ_HAZ_AMOUNT,249,1)&lt;&gt;"",),IF(OR(INDEX(OHZ_HAZ_NETGROSS,249,1)="",INDEX(OHZ_HAZ_UNIT,249,1)="",),FALSE,TRUE),TRUE)</f>
        <v>1</v>
      </c>
      <c r="K1256" s="52" t="str">
        <f t="shared" si="40"/>
        <v>Row 249 - For ‘Transport unit’ if ‘Amount’ is given then ‘Gross / Net’ and ‘Amount unit’ are required</v>
      </c>
      <c r="L1256" s="236" t="s">
        <v>1853</v>
      </c>
    </row>
    <row r="1257" spans="7:12">
      <c r="G1257" s="250" t="b">
        <f>IF(OR(INDEX(IHZ_HAZ_AMOUNT,250,1)&lt;&gt;"",),IF(OR(INDEX(IHZ_HAZ_NETGROSS,250,1)="",INDEX(IHZ_HAZ_UNIT,250,1)="",),FALSE,TRUE),TRUE)</f>
        <v>1</v>
      </c>
      <c r="H1257" s="52" t="str">
        <f t="shared" si="39"/>
        <v>Row 250 - For ‘Transport unit’ if ‘Amount’ is given then ‘Gross / Net’ and ‘Amount unit’ are required</v>
      </c>
      <c r="I1257" s="236" t="s">
        <v>1853</v>
      </c>
      <c r="J1257" s="52" t="b">
        <f>IF(OR(INDEX(OHZ_HAZ_AMOUNT,250,1)&lt;&gt;"",),IF(OR(INDEX(OHZ_HAZ_NETGROSS,250,1)="",INDEX(OHZ_HAZ_UNIT,250,1)="",),FALSE,TRUE),TRUE)</f>
        <v>1</v>
      </c>
      <c r="K1257" s="52" t="str">
        <f t="shared" si="40"/>
        <v>Row 250 - For ‘Transport unit’ if ‘Amount’ is given then ‘Gross / Net’ and ‘Amount unit’ are required</v>
      </c>
      <c r="L1257" s="236" t="s">
        <v>1853</v>
      </c>
    </row>
    <row r="1258" spans="7:12">
      <c r="G1258" s="250" t="b">
        <f>IF(OR(INDEX(IHZ_HAZ_DGCLASSIFI,1,1)="IMDG",),AND(INDEX(IHZ_HAZ_IMOHAZARDC,1,1)&lt;&gt;"",INDEX(IHZ_HAZ_UNNUMBER,1,1)&lt;&gt;""),TRUE)</f>
        <v>1</v>
      </c>
      <c r="H1258" s="52" t="str">
        <f>T1&amp;$V$6</f>
        <v>Row 1 - If ‘DG classification’ is ‘IMDG’ the ‘IMO Hazard Class’ and ‘UN Number’ is mandatory</v>
      </c>
      <c r="I1258" s="236" t="s">
        <v>1853</v>
      </c>
      <c r="J1258" s="52" t="b">
        <f>IF(OR(INDEX(OHZ_HAZ_DGCLASSIFI,1,1)="IMDG",),AND(INDEX(OHZ_HAZ_IMOHAZARDC,1,1)&lt;&gt;"",INDEX(OHZ_HAZ_UNNUMBER,1,1)&lt;&gt;""),TRUE)</f>
        <v>1</v>
      </c>
      <c r="K1258" s="52" t="str">
        <f>T1&amp;$V$6</f>
        <v>Row 1 - If ‘DG classification’ is ‘IMDG’ the ‘IMO Hazard Class’ and ‘UN Number’ is mandatory</v>
      </c>
      <c r="L1258" s="236" t="s">
        <v>1853</v>
      </c>
    </row>
    <row r="1259" spans="7:12">
      <c r="G1259" s="250" t="b">
        <f>IF(OR(INDEX(IHZ_HAZ_DGCLASSIFI,2,1)="IMDG",),AND(INDEX(IHZ_HAZ_IMOHAZARDC,2,1)&lt;&gt;"",INDEX(IHZ_HAZ_UNNUMBER,2,1)&lt;&gt;""),TRUE)</f>
        <v>1</v>
      </c>
      <c r="H1259" s="52" t="str">
        <f t="shared" ref="H1259:H1322" si="41">T2&amp;$V$6</f>
        <v>Row 2 - If ‘DG classification’ is ‘IMDG’ the ‘IMO Hazard Class’ and ‘UN Number’ is mandatory</v>
      </c>
      <c r="I1259" s="236" t="s">
        <v>1853</v>
      </c>
      <c r="J1259" s="52" t="b">
        <f>IF(OR(INDEX(OHZ_HAZ_DGCLASSIFI,2,1)="IMDG",),AND(INDEX(OHZ_HAZ_IMOHAZARDC,2,1)&lt;&gt;"",INDEX(OHZ_HAZ_UNNUMBER,2,1)&lt;&gt;""),TRUE)</f>
        <v>1</v>
      </c>
      <c r="K1259" s="52" t="str">
        <f t="shared" ref="K1259:K1322" si="42">T2&amp;$V$6</f>
        <v>Row 2 - If ‘DG classification’ is ‘IMDG’ the ‘IMO Hazard Class’ and ‘UN Number’ is mandatory</v>
      </c>
      <c r="L1259" s="236" t="s">
        <v>1853</v>
      </c>
    </row>
    <row r="1260" spans="7:12">
      <c r="G1260" s="250" t="b">
        <f>IF(OR(INDEX(IHZ_HAZ_DGCLASSIFI,3,1)="IMDG",),AND(INDEX(IHZ_HAZ_IMOHAZARDC,3,1)&lt;&gt;"",INDEX(IHZ_HAZ_UNNUMBER,3,1)&lt;&gt;""),TRUE)</f>
        <v>1</v>
      </c>
      <c r="H1260" s="52" t="str">
        <f t="shared" si="41"/>
        <v>Row 3 - If ‘DG classification’ is ‘IMDG’ the ‘IMO Hazard Class’ and ‘UN Number’ is mandatory</v>
      </c>
      <c r="I1260" s="236" t="s">
        <v>1853</v>
      </c>
      <c r="J1260" s="52" t="b">
        <f>IF(OR(INDEX(OHZ_HAZ_DGCLASSIFI,3,1)="IMDG",),AND(INDEX(OHZ_HAZ_IMOHAZARDC,3,1)&lt;&gt;"",INDEX(OHZ_HAZ_UNNUMBER,3,1)&lt;&gt;""),TRUE)</f>
        <v>1</v>
      </c>
      <c r="K1260" s="52" t="str">
        <f t="shared" si="42"/>
        <v>Row 3 - If ‘DG classification’ is ‘IMDG’ the ‘IMO Hazard Class’ and ‘UN Number’ is mandatory</v>
      </c>
      <c r="L1260" s="236" t="s">
        <v>1853</v>
      </c>
    </row>
    <row r="1261" spans="7:12">
      <c r="G1261" s="250" t="b">
        <f>IF(OR(INDEX(IHZ_HAZ_DGCLASSIFI,4,1)="IMDG",),AND(INDEX(IHZ_HAZ_IMOHAZARDC,4,1)&lt;&gt;"",INDEX(IHZ_HAZ_UNNUMBER,4,1)&lt;&gt;""),TRUE)</f>
        <v>1</v>
      </c>
      <c r="H1261" s="52" t="str">
        <f t="shared" si="41"/>
        <v>Row 4 - If ‘DG classification’ is ‘IMDG’ the ‘IMO Hazard Class’ and ‘UN Number’ is mandatory</v>
      </c>
      <c r="I1261" s="236" t="s">
        <v>1853</v>
      </c>
      <c r="J1261" s="52" t="b">
        <f>IF(OR(INDEX(OHZ_HAZ_DGCLASSIFI,4,1)="IMDG",),AND(INDEX(OHZ_HAZ_IMOHAZARDC,4,1)&lt;&gt;"",INDEX(OHZ_HAZ_UNNUMBER,4,1)&lt;&gt;""),TRUE)</f>
        <v>1</v>
      </c>
      <c r="K1261" s="52" t="str">
        <f t="shared" si="42"/>
        <v>Row 4 - If ‘DG classification’ is ‘IMDG’ the ‘IMO Hazard Class’ and ‘UN Number’ is mandatory</v>
      </c>
      <c r="L1261" s="236" t="s">
        <v>1853</v>
      </c>
    </row>
    <row r="1262" spans="7:12">
      <c r="G1262" s="250" t="b">
        <f>IF(OR(INDEX(IHZ_HAZ_DGCLASSIFI,5,1)="IMDG",),AND(INDEX(IHZ_HAZ_IMOHAZARDC,5,1)&lt;&gt;"",INDEX(IHZ_HAZ_UNNUMBER,5,1)&lt;&gt;""),TRUE)</f>
        <v>1</v>
      </c>
      <c r="H1262" s="52" t="str">
        <f t="shared" si="41"/>
        <v>Row 5 - If ‘DG classification’ is ‘IMDG’ the ‘IMO Hazard Class’ and ‘UN Number’ is mandatory</v>
      </c>
      <c r="I1262" s="236" t="s">
        <v>1853</v>
      </c>
      <c r="J1262" s="52" t="b">
        <f>IF(OR(INDEX(OHZ_HAZ_DGCLASSIFI,5,1)="IMDG",),AND(INDEX(OHZ_HAZ_IMOHAZARDC,5,1)&lt;&gt;"",INDEX(OHZ_HAZ_UNNUMBER,5,1)&lt;&gt;""),TRUE)</f>
        <v>1</v>
      </c>
      <c r="K1262" s="52" t="str">
        <f t="shared" si="42"/>
        <v>Row 5 - If ‘DG classification’ is ‘IMDG’ the ‘IMO Hazard Class’ and ‘UN Number’ is mandatory</v>
      </c>
      <c r="L1262" s="236" t="s">
        <v>1853</v>
      </c>
    </row>
    <row r="1263" spans="7:12">
      <c r="G1263" s="250" t="b">
        <f>IF(OR(INDEX(IHZ_HAZ_DGCLASSIFI,6,1)="IMDG",),AND(INDEX(IHZ_HAZ_IMOHAZARDC,6,1)&lt;&gt;"",INDEX(IHZ_HAZ_UNNUMBER,6,1)&lt;&gt;""),TRUE)</f>
        <v>1</v>
      </c>
      <c r="H1263" s="52" t="str">
        <f t="shared" si="41"/>
        <v>Row 6 - If ‘DG classification’ is ‘IMDG’ the ‘IMO Hazard Class’ and ‘UN Number’ is mandatory</v>
      </c>
      <c r="I1263" s="236" t="s">
        <v>1853</v>
      </c>
      <c r="J1263" s="52" t="b">
        <f>IF(OR(INDEX(OHZ_HAZ_DGCLASSIFI,6,1)="IMDG",),AND(INDEX(OHZ_HAZ_IMOHAZARDC,6,1)&lt;&gt;"",INDEX(OHZ_HAZ_UNNUMBER,6,1)&lt;&gt;""),TRUE)</f>
        <v>1</v>
      </c>
      <c r="K1263" s="52" t="str">
        <f t="shared" si="42"/>
        <v>Row 6 - If ‘DG classification’ is ‘IMDG’ the ‘IMO Hazard Class’ and ‘UN Number’ is mandatory</v>
      </c>
      <c r="L1263" s="236" t="s">
        <v>1853</v>
      </c>
    </row>
    <row r="1264" spans="7:12">
      <c r="G1264" s="250" t="b">
        <f>IF(OR(INDEX(IHZ_HAZ_DGCLASSIFI,7,1)="IMDG",),AND(INDEX(IHZ_HAZ_IMOHAZARDC,7,1)&lt;&gt;"",INDEX(IHZ_HAZ_UNNUMBER,7,1)&lt;&gt;""),TRUE)</f>
        <v>1</v>
      </c>
      <c r="H1264" s="52" t="str">
        <f t="shared" si="41"/>
        <v>Row 7 - If ‘DG classification’ is ‘IMDG’ the ‘IMO Hazard Class’ and ‘UN Number’ is mandatory</v>
      </c>
      <c r="I1264" s="236" t="s">
        <v>1853</v>
      </c>
      <c r="J1264" s="52" t="b">
        <f>IF(OR(INDEX(OHZ_HAZ_DGCLASSIFI,7,1)="IMDG",),AND(INDEX(OHZ_HAZ_IMOHAZARDC,7,1)&lt;&gt;"",INDEX(OHZ_HAZ_UNNUMBER,7,1)&lt;&gt;""),TRUE)</f>
        <v>1</v>
      </c>
      <c r="K1264" s="52" t="str">
        <f t="shared" si="42"/>
        <v>Row 7 - If ‘DG classification’ is ‘IMDG’ the ‘IMO Hazard Class’ and ‘UN Number’ is mandatory</v>
      </c>
      <c r="L1264" s="236" t="s">
        <v>1853</v>
      </c>
    </row>
    <row r="1265" spans="7:12">
      <c r="G1265" s="250" t="b">
        <f>IF(OR(INDEX(IHZ_HAZ_DGCLASSIFI,8,1)="IMDG",),AND(INDEX(IHZ_HAZ_IMOHAZARDC,8,1)&lt;&gt;"",INDEX(IHZ_HAZ_UNNUMBER,8,1)&lt;&gt;""),TRUE)</f>
        <v>1</v>
      </c>
      <c r="H1265" s="52" t="str">
        <f t="shared" si="41"/>
        <v>Row 8 - If ‘DG classification’ is ‘IMDG’ the ‘IMO Hazard Class’ and ‘UN Number’ is mandatory</v>
      </c>
      <c r="I1265" s="236" t="s">
        <v>1853</v>
      </c>
      <c r="J1265" s="52" t="b">
        <f>IF(OR(INDEX(OHZ_HAZ_DGCLASSIFI,8,1)="IMDG",),AND(INDEX(OHZ_HAZ_IMOHAZARDC,8,1)&lt;&gt;"",INDEX(OHZ_HAZ_UNNUMBER,8,1)&lt;&gt;""),TRUE)</f>
        <v>1</v>
      </c>
      <c r="K1265" s="52" t="str">
        <f t="shared" si="42"/>
        <v>Row 8 - If ‘DG classification’ is ‘IMDG’ the ‘IMO Hazard Class’ and ‘UN Number’ is mandatory</v>
      </c>
      <c r="L1265" s="236" t="s">
        <v>1853</v>
      </c>
    </row>
    <row r="1266" spans="7:12">
      <c r="G1266" s="250" t="b">
        <f>IF(OR(INDEX(IHZ_HAZ_DGCLASSIFI,9,1)="IMDG",),AND(INDEX(IHZ_HAZ_IMOHAZARDC,9,1)&lt;&gt;"",INDEX(IHZ_HAZ_UNNUMBER,9,1)&lt;&gt;""),TRUE)</f>
        <v>1</v>
      </c>
      <c r="H1266" s="52" t="str">
        <f t="shared" si="41"/>
        <v>Row 9 - If ‘DG classification’ is ‘IMDG’ the ‘IMO Hazard Class’ and ‘UN Number’ is mandatory</v>
      </c>
      <c r="I1266" s="236" t="s">
        <v>1853</v>
      </c>
      <c r="J1266" s="52" t="b">
        <f>IF(OR(INDEX(OHZ_HAZ_DGCLASSIFI,9,1)="IMDG",),AND(INDEX(OHZ_HAZ_IMOHAZARDC,9,1)&lt;&gt;"",INDEX(OHZ_HAZ_UNNUMBER,9,1)&lt;&gt;""),TRUE)</f>
        <v>1</v>
      </c>
      <c r="K1266" s="52" t="str">
        <f t="shared" si="42"/>
        <v>Row 9 - If ‘DG classification’ is ‘IMDG’ the ‘IMO Hazard Class’ and ‘UN Number’ is mandatory</v>
      </c>
      <c r="L1266" s="236" t="s">
        <v>1853</v>
      </c>
    </row>
    <row r="1267" spans="7:12">
      <c r="G1267" s="250" t="b">
        <f>IF(OR(INDEX(IHZ_HAZ_DGCLASSIFI,10,1)="IMDG",),AND(INDEX(IHZ_HAZ_IMOHAZARDC,10,1)&lt;&gt;"",INDEX(IHZ_HAZ_UNNUMBER,10,1)&lt;&gt;""),TRUE)</f>
        <v>1</v>
      </c>
      <c r="H1267" s="52" t="str">
        <f t="shared" si="41"/>
        <v>Row 10 - If ‘DG classification’ is ‘IMDG’ the ‘IMO Hazard Class’ and ‘UN Number’ is mandatory</v>
      </c>
      <c r="I1267" s="236" t="s">
        <v>1853</v>
      </c>
      <c r="J1267" s="52" t="b">
        <f>IF(OR(INDEX(OHZ_HAZ_DGCLASSIFI,10,1)="IMDG",),AND(INDEX(OHZ_HAZ_IMOHAZARDC,10,1)&lt;&gt;"",INDEX(OHZ_HAZ_UNNUMBER,10,1)&lt;&gt;""),TRUE)</f>
        <v>1</v>
      </c>
      <c r="K1267" s="52" t="str">
        <f t="shared" si="42"/>
        <v>Row 10 - If ‘DG classification’ is ‘IMDG’ the ‘IMO Hazard Class’ and ‘UN Number’ is mandatory</v>
      </c>
      <c r="L1267" s="236" t="s">
        <v>1853</v>
      </c>
    </row>
    <row r="1268" spans="7:12">
      <c r="G1268" s="250" t="b">
        <f>IF(OR(INDEX(IHZ_HAZ_DGCLASSIFI,11,1)="IMDG",),AND(INDEX(IHZ_HAZ_IMOHAZARDC,11,1)&lt;&gt;"",INDEX(IHZ_HAZ_UNNUMBER,11,1)&lt;&gt;""),TRUE)</f>
        <v>1</v>
      </c>
      <c r="H1268" s="52" t="str">
        <f t="shared" si="41"/>
        <v>Row 11 - If ‘DG classification’ is ‘IMDG’ the ‘IMO Hazard Class’ and ‘UN Number’ is mandatory</v>
      </c>
      <c r="I1268" s="236" t="s">
        <v>1853</v>
      </c>
      <c r="J1268" s="52" t="b">
        <f>IF(OR(INDEX(OHZ_HAZ_DGCLASSIFI,11,1)="IMDG",),AND(INDEX(OHZ_HAZ_IMOHAZARDC,11,1)&lt;&gt;"",INDEX(OHZ_HAZ_UNNUMBER,11,1)&lt;&gt;""),TRUE)</f>
        <v>1</v>
      </c>
      <c r="K1268" s="52" t="str">
        <f t="shared" si="42"/>
        <v>Row 11 - If ‘DG classification’ is ‘IMDG’ the ‘IMO Hazard Class’ and ‘UN Number’ is mandatory</v>
      </c>
      <c r="L1268" s="236" t="s">
        <v>1853</v>
      </c>
    </row>
    <row r="1269" spans="7:12">
      <c r="G1269" s="250" t="b">
        <f>IF(OR(INDEX(IHZ_HAZ_DGCLASSIFI,12,1)="IMDG",),AND(INDEX(IHZ_HAZ_IMOHAZARDC,12,1)&lt;&gt;"",INDEX(IHZ_HAZ_UNNUMBER,12,1)&lt;&gt;""),TRUE)</f>
        <v>1</v>
      </c>
      <c r="H1269" s="52" t="str">
        <f t="shared" si="41"/>
        <v>Row 12 - If ‘DG classification’ is ‘IMDG’ the ‘IMO Hazard Class’ and ‘UN Number’ is mandatory</v>
      </c>
      <c r="I1269" s="236" t="s">
        <v>1853</v>
      </c>
      <c r="J1269" s="52" t="b">
        <f>IF(OR(INDEX(OHZ_HAZ_DGCLASSIFI,12,1)="IMDG",),AND(INDEX(OHZ_HAZ_IMOHAZARDC,12,1)&lt;&gt;"",INDEX(OHZ_HAZ_UNNUMBER,12,1)&lt;&gt;""),TRUE)</f>
        <v>1</v>
      </c>
      <c r="K1269" s="52" t="str">
        <f t="shared" si="42"/>
        <v>Row 12 - If ‘DG classification’ is ‘IMDG’ the ‘IMO Hazard Class’ and ‘UN Number’ is mandatory</v>
      </c>
      <c r="L1269" s="236" t="s">
        <v>1853</v>
      </c>
    </row>
    <row r="1270" spans="7:12">
      <c r="G1270" s="250" t="b">
        <f>IF(OR(INDEX(IHZ_HAZ_DGCLASSIFI,13,1)="IMDG",),AND(INDEX(IHZ_HAZ_IMOHAZARDC,13,1)&lt;&gt;"",INDEX(IHZ_HAZ_UNNUMBER,13,1)&lt;&gt;""),TRUE)</f>
        <v>1</v>
      </c>
      <c r="H1270" s="52" t="str">
        <f t="shared" si="41"/>
        <v>Row 13 - If ‘DG classification’ is ‘IMDG’ the ‘IMO Hazard Class’ and ‘UN Number’ is mandatory</v>
      </c>
      <c r="I1270" s="236" t="s">
        <v>1853</v>
      </c>
      <c r="J1270" s="52" t="b">
        <f>IF(OR(INDEX(OHZ_HAZ_DGCLASSIFI,13,1)="IMDG",),AND(INDEX(OHZ_HAZ_IMOHAZARDC,13,1)&lt;&gt;"",INDEX(OHZ_HAZ_UNNUMBER,13,1)&lt;&gt;""),TRUE)</f>
        <v>1</v>
      </c>
      <c r="K1270" s="52" t="str">
        <f t="shared" si="42"/>
        <v>Row 13 - If ‘DG classification’ is ‘IMDG’ the ‘IMO Hazard Class’ and ‘UN Number’ is mandatory</v>
      </c>
      <c r="L1270" s="236" t="s">
        <v>1853</v>
      </c>
    </row>
    <row r="1271" spans="7:12">
      <c r="G1271" s="250" t="b">
        <f>IF(OR(INDEX(IHZ_HAZ_DGCLASSIFI,14,1)="IMDG",),AND(INDEX(IHZ_HAZ_IMOHAZARDC,14,1)&lt;&gt;"",INDEX(IHZ_HAZ_UNNUMBER,14,1)&lt;&gt;""),TRUE)</f>
        <v>1</v>
      </c>
      <c r="H1271" s="52" t="str">
        <f t="shared" si="41"/>
        <v>Row 14 - If ‘DG classification’ is ‘IMDG’ the ‘IMO Hazard Class’ and ‘UN Number’ is mandatory</v>
      </c>
      <c r="I1271" s="236" t="s">
        <v>1853</v>
      </c>
      <c r="J1271" s="52" t="b">
        <f>IF(OR(INDEX(OHZ_HAZ_DGCLASSIFI,14,1)="IMDG",),AND(INDEX(OHZ_HAZ_IMOHAZARDC,14,1)&lt;&gt;"",INDEX(OHZ_HAZ_UNNUMBER,14,1)&lt;&gt;""),TRUE)</f>
        <v>1</v>
      </c>
      <c r="K1271" s="52" t="str">
        <f t="shared" si="42"/>
        <v>Row 14 - If ‘DG classification’ is ‘IMDG’ the ‘IMO Hazard Class’ and ‘UN Number’ is mandatory</v>
      </c>
      <c r="L1271" s="236" t="s">
        <v>1853</v>
      </c>
    </row>
    <row r="1272" spans="7:12">
      <c r="G1272" s="250" t="b">
        <f>IF(OR(INDEX(IHZ_HAZ_DGCLASSIFI,15,1)="IMDG",),AND(INDEX(IHZ_HAZ_IMOHAZARDC,15,1)&lt;&gt;"",INDEX(IHZ_HAZ_UNNUMBER,15,1)&lt;&gt;""),TRUE)</f>
        <v>1</v>
      </c>
      <c r="H1272" s="52" t="str">
        <f t="shared" si="41"/>
        <v>Row 15 - If ‘DG classification’ is ‘IMDG’ the ‘IMO Hazard Class’ and ‘UN Number’ is mandatory</v>
      </c>
      <c r="I1272" s="236" t="s">
        <v>1853</v>
      </c>
      <c r="J1272" s="52" t="b">
        <f>IF(OR(INDEX(OHZ_HAZ_DGCLASSIFI,15,1)="IMDG",),AND(INDEX(OHZ_HAZ_IMOHAZARDC,15,1)&lt;&gt;"",INDEX(OHZ_HAZ_UNNUMBER,15,1)&lt;&gt;""),TRUE)</f>
        <v>1</v>
      </c>
      <c r="K1272" s="52" t="str">
        <f t="shared" si="42"/>
        <v>Row 15 - If ‘DG classification’ is ‘IMDG’ the ‘IMO Hazard Class’ and ‘UN Number’ is mandatory</v>
      </c>
      <c r="L1272" s="236" t="s">
        <v>1853</v>
      </c>
    </row>
    <row r="1273" spans="7:12">
      <c r="G1273" s="250" t="b">
        <f>IF(OR(INDEX(IHZ_HAZ_DGCLASSIFI,16,1)="IMDG",),AND(INDEX(IHZ_HAZ_IMOHAZARDC,16,1)&lt;&gt;"",INDEX(IHZ_HAZ_UNNUMBER,16,1)&lt;&gt;""),TRUE)</f>
        <v>1</v>
      </c>
      <c r="H1273" s="52" t="str">
        <f t="shared" si="41"/>
        <v>Row 16 - If ‘DG classification’ is ‘IMDG’ the ‘IMO Hazard Class’ and ‘UN Number’ is mandatory</v>
      </c>
      <c r="I1273" s="236" t="s">
        <v>1853</v>
      </c>
      <c r="J1273" s="52" t="b">
        <f>IF(OR(INDEX(OHZ_HAZ_DGCLASSIFI,16,1)="IMDG",),AND(INDEX(OHZ_HAZ_IMOHAZARDC,16,1)&lt;&gt;"",INDEX(OHZ_HAZ_UNNUMBER,16,1)&lt;&gt;""),TRUE)</f>
        <v>1</v>
      </c>
      <c r="K1273" s="52" t="str">
        <f t="shared" si="42"/>
        <v>Row 16 - If ‘DG classification’ is ‘IMDG’ the ‘IMO Hazard Class’ and ‘UN Number’ is mandatory</v>
      </c>
      <c r="L1273" s="236" t="s">
        <v>1853</v>
      </c>
    </row>
    <row r="1274" spans="7:12">
      <c r="G1274" s="250" t="b">
        <f>IF(OR(INDEX(IHZ_HAZ_DGCLASSIFI,17,1)="IMDG",),AND(INDEX(IHZ_HAZ_IMOHAZARDC,17,1)&lt;&gt;"",INDEX(IHZ_HAZ_UNNUMBER,17,1)&lt;&gt;""),TRUE)</f>
        <v>1</v>
      </c>
      <c r="H1274" s="52" t="str">
        <f t="shared" si="41"/>
        <v>Row 17 - If ‘DG classification’ is ‘IMDG’ the ‘IMO Hazard Class’ and ‘UN Number’ is mandatory</v>
      </c>
      <c r="I1274" s="236" t="s">
        <v>1853</v>
      </c>
      <c r="J1274" s="52" t="b">
        <f>IF(OR(INDEX(OHZ_HAZ_DGCLASSIFI,17,1)="IMDG",),AND(INDEX(OHZ_HAZ_IMOHAZARDC,17,1)&lt;&gt;"",INDEX(OHZ_HAZ_UNNUMBER,17,1)&lt;&gt;""),TRUE)</f>
        <v>1</v>
      </c>
      <c r="K1274" s="52" t="str">
        <f t="shared" si="42"/>
        <v>Row 17 - If ‘DG classification’ is ‘IMDG’ the ‘IMO Hazard Class’ and ‘UN Number’ is mandatory</v>
      </c>
      <c r="L1274" s="236" t="s">
        <v>1853</v>
      </c>
    </row>
    <row r="1275" spans="7:12">
      <c r="G1275" s="250" t="b">
        <f>IF(OR(INDEX(IHZ_HAZ_DGCLASSIFI,18,1)="IMDG",),AND(INDEX(IHZ_HAZ_IMOHAZARDC,18,1)&lt;&gt;"",INDEX(IHZ_HAZ_UNNUMBER,18,1)&lt;&gt;""),TRUE)</f>
        <v>1</v>
      </c>
      <c r="H1275" s="52" t="str">
        <f t="shared" si="41"/>
        <v>Row 18 - If ‘DG classification’ is ‘IMDG’ the ‘IMO Hazard Class’ and ‘UN Number’ is mandatory</v>
      </c>
      <c r="I1275" s="236" t="s">
        <v>1853</v>
      </c>
      <c r="J1275" s="52" t="b">
        <f>IF(OR(INDEX(OHZ_HAZ_DGCLASSIFI,18,1)="IMDG",),AND(INDEX(OHZ_HAZ_IMOHAZARDC,18,1)&lt;&gt;"",INDEX(OHZ_HAZ_UNNUMBER,18,1)&lt;&gt;""),TRUE)</f>
        <v>1</v>
      </c>
      <c r="K1275" s="52" t="str">
        <f t="shared" si="42"/>
        <v>Row 18 - If ‘DG classification’ is ‘IMDG’ the ‘IMO Hazard Class’ and ‘UN Number’ is mandatory</v>
      </c>
      <c r="L1275" s="236" t="s">
        <v>1853</v>
      </c>
    </row>
    <row r="1276" spans="7:12">
      <c r="G1276" s="250" t="b">
        <f>IF(OR(INDEX(IHZ_HAZ_DGCLASSIFI,19,1)="IMDG",),AND(INDEX(IHZ_HAZ_IMOHAZARDC,19,1)&lt;&gt;"",INDEX(IHZ_HAZ_UNNUMBER,19,1)&lt;&gt;""),TRUE)</f>
        <v>1</v>
      </c>
      <c r="H1276" s="52" t="str">
        <f t="shared" si="41"/>
        <v>Row 19 - If ‘DG classification’ is ‘IMDG’ the ‘IMO Hazard Class’ and ‘UN Number’ is mandatory</v>
      </c>
      <c r="I1276" s="236" t="s">
        <v>1853</v>
      </c>
      <c r="J1276" s="52" t="b">
        <f>IF(OR(INDEX(OHZ_HAZ_DGCLASSIFI,19,1)="IMDG",),AND(INDEX(OHZ_HAZ_IMOHAZARDC,19,1)&lt;&gt;"",INDEX(OHZ_HAZ_UNNUMBER,19,1)&lt;&gt;""),TRUE)</f>
        <v>1</v>
      </c>
      <c r="K1276" s="52" t="str">
        <f t="shared" si="42"/>
        <v>Row 19 - If ‘DG classification’ is ‘IMDG’ the ‘IMO Hazard Class’ and ‘UN Number’ is mandatory</v>
      </c>
      <c r="L1276" s="236" t="s">
        <v>1853</v>
      </c>
    </row>
    <row r="1277" spans="7:12">
      <c r="G1277" s="250" t="b">
        <f>IF(OR(INDEX(IHZ_HAZ_DGCLASSIFI,20,1)="IMDG",),AND(INDEX(IHZ_HAZ_IMOHAZARDC,20,1)&lt;&gt;"",INDEX(IHZ_HAZ_UNNUMBER,20,1)&lt;&gt;""),TRUE)</f>
        <v>1</v>
      </c>
      <c r="H1277" s="52" t="str">
        <f t="shared" si="41"/>
        <v>Row 20 - If ‘DG classification’ is ‘IMDG’ the ‘IMO Hazard Class’ and ‘UN Number’ is mandatory</v>
      </c>
      <c r="I1277" s="236" t="s">
        <v>1853</v>
      </c>
      <c r="J1277" s="52" t="b">
        <f>IF(OR(INDEX(OHZ_HAZ_DGCLASSIFI,20,1)="IMDG",),AND(INDEX(OHZ_HAZ_IMOHAZARDC,20,1)&lt;&gt;"",INDEX(OHZ_HAZ_UNNUMBER,20,1)&lt;&gt;""),TRUE)</f>
        <v>1</v>
      </c>
      <c r="K1277" s="52" t="str">
        <f t="shared" si="42"/>
        <v>Row 20 - If ‘DG classification’ is ‘IMDG’ the ‘IMO Hazard Class’ and ‘UN Number’ is mandatory</v>
      </c>
      <c r="L1277" s="236" t="s">
        <v>1853</v>
      </c>
    </row>
    <row r="1278" spans="7:12">
      <c r="G1278" s="250" t="b">
        <f>IF(OR(INDEX(IHZ_HAZ_DGCLASSIFI,21,1)="IMDG",),AND(INDEX(IHZ_HAZ_IMOHAZARDC,21,1)&lt;&gt;"",INDEX(IHZ_HAZ_UNNUMBER,21,1)&lt;&gt;""),TRUE)</f>
        <v>1</v>
      </c>
      <c r="H1278" s="52" t="str">
        <f t="shared" si="41"/>
        <v>Row 21 - If ‘DG classification’ is ‘IMDG’ the ‘IMO Hazard Class’ and ‘UN Number’ is mandatory</v>
      </c>
      <c r="I1278" s="236" t="s">
        <v>1853</v>
      </c>
      <c r="J1278" s="52" t="b">
        <f>IF(OR(INDEX(OHZ_HAZ_DGCLASSIFI,21,1)="IMDG",),AND(INDEX(OHZ_HAZ_IMOHAZARDC,21,1)&lt;&gt;"",INDEX(OHZ_HAZ_UNNUMBER,21,1)&lt;&gt;""),TRUE)</f>
        <v>1</v>
      </c>
      <c r="K1278" s="52" t="str">
        <f t="shared" si="42"/>
        <v>Row 21 - If ‘DG classification’ is ‘IMDG’ the ‘IMO Hazard Class’ and ‘UN Number’ is mandatory</v>
      </c>
      <c r="L1278" s="236" t="s">
        <v>1853</v>
      </c>
    </row>
    <row r="1279" spans="7:12">
      <c r="G1279" s="250" t="b">
        <f>IF(OR(INDEX(IHZ_HAZ_DGCLASSIFI,22,1)="IMDG",),AND(INDEX(IHZ_HAZ_IMOHAZARDC,22,1)&lt;&gt;"",INDEX(IHZ_HAZ_UNNUMBER,22,1)&lt;&gt;""),TRUE)</f>
        <v>1</v>
      </c>
      <c r="H1279" s="52" t="str">
        <f t="shared" si="41"/>
        <v>Row 22 - If ‘DG classification’ is ‘IMDG’ the ‘IMO Hazard Class’ and ‘UN Number’ is mandatory</v>
      </c>
      <c r="I1279" s="236" t="s">
        <v>1853</v>
      </c>
      <c r="J1279" s="52" t="b">
        <f>IF(OR(INDEX(OHZ_HAZ_DGCLASSIFI,22,1)="IMDG",),AND(INDEX(OHZ_HAZ_IMOHAZARDC,22,1)&lt;&gt;"",INDEX(OHZ_HAZ_UNNUMBER,22,1)&lt;&gt;""),TRUE)</f>
        <v>1</v>
      </c>
      <c r="K1279" s="52" t="str">
        <f t="shared" si="42"/>
        <v>Row 22 - If ‘DG classification’ is ‘IMDG’ the ‘IMO Hazard Class’ and ‘UN Number’ is mandatory</v>
      </c>
      <c r="L1279" s="236" t="s">
        <v>1853</v>
      </c>
    </row>
    <row r="1280" spans="7:12">
      <c r="G1280" s="250" t="b">
        <f>IF(OR(INDEX(IHZ_HAZ_DGCLASSIFI,23,1)="IMDG",),AND(INDEX(IHZ_HAZ_IMOHAZARDC,23,1)&lt;&gt;"",INDEX(IHZ_HAZ_UNNUMBER,23,1)&lt;&gt;""),TRUE)</f>
        <v>1</v>
      </c>
      <c r="H1280" s="52" t="str">
        <f t="shared" si="41"/>
        <v>Row 23 - If ‘DG classification’ is ‘IMDG’ the ‘IMO Hazard Class’ and ‘UN Number’ is mandatory</v>
      </c>
      <c r="I1280" s="236" t="s">
        <v>1853</v>
      </c>
      <c r="J1280" s="52" t="b">
        <f>IF(OR(INDEX(OHZ_HAZ_DGCLASSIFI,23,1)="IMDG",),AND(INDEX(OHZ_HAZ_IMOHAZARDC,23,1)&lt;&gt;"",INDEX(OHZ_HAZ_UNNUMBER,23,1)&lt;&gt;""),TRUE)</f>
        <v>1</v>
      </c>
      <c r="K1280" s="52" t="str">
        <f t="shared" si="42"/>
        <v>Row 23 - If ‘DG classification’ is ‘IMDG’ the ‘IMO Hazard Class’ and ‘UN Number’ is mandatory</v>
      </c>
      <c r="L1280" s="236" t="s">
        <v>1853</v>
      </c>
    </row>
    <row r="1281" spans="7:12">
      <c r="G1281" s="250" t="b">
        <f>IF(OR(INDEX(IHZ_HAZ_DGCLASSIFI,24,1)="IMDG",),AND(INDEX(IHZ_HAZ_IMOHAZARDC,24,1)&lt;&gt;"",INDEX(IHZ_HAZ_UNNUMBER,24,1)&lt;&gt;""),TRUE)</f>
        <v>1</v>
      </c>
      <c r="H1281" s="52" t="str">
        <f t="shared" si="41"/>
        <v>Row 24 - If ‘DG classification’ is ‘IMDG’ the ‘IMO Hazard Class’ and ‘UN Number’ is mandatory</v>
      </c>
      <c r="I1281" s="236" t="s">
        <v>1853</v>
      </c>
      <c r="J1281" s="52" t="b">
        <f>IF(OR(INDEX(OHZ_HAZ_DGCLASSIFI,24,1)="IMDG",),AND(INDEX(OHZ_HAZ_IMOHAZARDC,24,1)&lt;&gt;"",INDEX(OHZ_HAZ_UNNUMBER,24,1)&lt;&gt;""),TRUE)</f>
        <v>1</v>
      </c>
      <c r="K1281" s="52" t="str">
        <f t="shared" si="42"/>
        <v>Row 24 - If ‘DG classification’ is ‘IMDG’ the ‘IMO Hazard Class’ and ‘UN Number’ is mandatory</v>
      </c>
      <c r="L1281" s="236" t="s">
        <v>1853</v>
      </c>
    </row>
    <row r="1282" spans="7:12">
      <c r="G1282" s="250" t="b">
        <f>IF(OR(INDEX(IHZ_HAZ_DGCLASSIFI,25,1)="IMDG",),AND(INDEX(IHZ_HAZ_IMOHAZARDC,25,1)&lt;&gt;"",INDEX(IHZ_HAZ_UNNUMBER,25,1)&lt;&gt;""),TRUE)</f>
        <v>1</v>
      </c>
      <c r="H1282" s="52" t="str">
        <f t="shared" si="41"/>
        <v>Row 25 - If ‘DG classification’ is ‘IMDG’ the ‘IMO Hazard Class’ and ‘UN Number’ is mandatory</v>
      </c>
      <c r="I1282" s="236" t="s">
        <v>1853</v>
      </c>
      <c r="J1282" s="52" t="b">
        <f>IF(OR(INDEX(OHZ_HAZ_DGCLASSIFI,25,1)="IMDG",),AND(INDEX(OHZ_HAZ_IMOHAZARDC,25,1)&lt;&gt;"",INDEX(OHZ_HAZ_UNNUMBER,25,1)&lt;&gt;""),TRUE)</f>
        <v>1</v>
      </c>
      <c r="K1282" s="52" t="str">
        <f t="shared" si="42"/>
        <v>Row 25 - If ‘DG classification’ is ‘IMDG’ the ‘IMO Hazard Class’ and ‘UN Number’ is mandatory</v>
      </c>
      <c r="L1282" s="236" t="s">
        <v>1853</v>
      </c>
    </row>
    <row r="1283" spans="7:12">
      <c r="G1283" s="250" t="b">
        <f>IF(OR(INDEX(IHZ_HAZ_DGCLASSIFI,26,1)="IMDG",),AND(INDEX(IHZ_HAZ_IMOHAZARDC,26,1)&lt;&gt;"",INDEX(IHZ_HAZ_UNNUMBER,26,1)&lt;&gt;""),TRUE)</f>
        <v>1</v>
      </c>
      <c r="H1283" s="52" t="str">
        <f t="shared" si="41"/>
        <v>Row 26 - If ‘DG classification’ is ‘IMDG’ the ‘IMO Hazard Class’ and ‘UN Number’ is mandatory</v>
      </c>
      <c r="I1283" s="236" t="s">
        <v>1853</v>
      </c>
      <c r="J1283" s="52" t="b">
        <f>IF(OR(INDEX(OHZ_HAZ_DGCLASSIFI,26,1)="IMDG",),AND(INDEX(OHZ_HAZ_IMOHAZARDC,26,1)&lt;&gt;"",INDEX(OHZ_HAZ_UNNUMBER,26,1)&lt;&gt;""),TRUE)</f>
        <v>1</v>
      </c>
      <c r="K1283" s="52" t="str">
        <f t="shared" si="42"/>
        <v>Row 26 - If ‘DG classification’ is ‘IMDG’ the ‘IMO Hazard Class’ and ‘UN Number’ is mandatory</v>
      </c>
      <c r="L1283" s="236" t="s">
        <v>1853</v>
      </c>
    </row>
    <row r="1284" spans="7:12">
      <c r="G1284" s="250" t="b">
        <f>IF(OR(INDEX(IHZ_HAZ_DGCLASSIFI,27,1)="IMDG",),AND(INDEX(IHZ_HAZ_IMOHAZARDC,27,1)&lt;&gt;"",INDEX(IHZ_HAZ_UNNUMBER,27,1)&lt;&gt;""),TRUE)</f>
        <v>1</v>
      </c>
      <c r="H1284" s="52" t="str">
        <f t="shared" si="41"/>
        <v>Row 27 - If ‘DG classification’ is ‘IMDG’ the ‘IMO Hazard Class’ and ‘UN Number’ is mandatory</v>
      </c>
      <c r="I1284" s="236" t="s">
        <v>1853</v>
      </c>
      <c r="J1284" s="52" t="b">
        <f>IF(OR(INDEX(OHZ_HAZ_DGCLASSIFI,27,1)="IMDG",),AND(INDEX(OHZ_HAZ_IMOHAZARDC,27,1)&lt;&gt;"",INDEX(OHZ_HAZ_UNNUMBER,27,1)&lt;&gt;""),TRUE)</f>
        <v>1</v>
      </c>
      <c r="K1284" s="52" t="str">
        <f t="shared" si="42"/>
        <v>Row 27 - If ‘DG classification’ is ‘IMDG’ the ‘IMO Hazard Class’ and ‘UN Number’ is mandatory</v>
      </c>
      <c r="L1284" s="236" t="s">
        <v>1853</v>
      </c>
    </row>
    <row r="1285" spans="7:12">
      <c r="G1285" s="250" t="b">
        <f>IF(OR(INDEX(IHZ_HAZ_DGCLASSIFI,28,1)="IMDG",),AND(INDEX(IHZ_HAZ_IMOHAZARDC,28,1)&lt;&gt;"",INDEX(IHZ_HAZ_UNNUMBER,28,1)&lt;&gt;""),TRUE)</f>
        <v>1</v>
      </c>
      <c r="H1285" s="52" t="str">
        <f t="shared" si="41"/>
        <v>Row 28 - If ‘DG classification’ is ‘IMDG’ the ‘IMO Hazard Class’ and ‘UN Number’ is mandatory</v>
      </c>
      <c r="I1285" s="236" t="s">
        <v>1853</v>
      </c>
      <c r="J1285" s="52" t="b">
        <f>IF(OR(INDEX(OHZ_HAZ_DGCLASSIFI,28,1)="IMDG",),AND(INDEX(OHZ_HAZ_IMOHAZARDC,28,1)&lt;&gt;"",INDEX(OHZ_HAZ_UNNUMBER,28,1)&lt;&gt;""),TRUE)</f>
        <v>1</v>
      </c>
      <c r="K1285" s="52" t="str">
        <f t="shared" si="42"/>
        <v>Row 28 - If ‘DG classification’ is ‘IMDG’ the ‘IMO Hazard Class’ and ‘UN Number’ is mandatory</v>
      </c>
      <c r="L1285" s="236" t="s">
        <v>1853</v>
      </c>
    </row>
    <row r="1286" spans="7:12">
      <c r="G1286" s="250" t="b">
        <f>IF(OR(INDEX(IHZ_HAZ_DGCLASSIFI,29,1)="IMDG",),AND(INDEX(IHZ_HAZ_IMOHAZARDC,29,1)&lt;&gt;"",INDEX(IHZ_HAZ_UNNUMBER,29,1)&lt;&gt;""),TRUE)</f>
        <v>1</v>
      </c>
      <c r="H1286" s="52" t="str">
        <f t="shared" si="41"/>
        <v>Row 29 - If ‘DG classification’ is ‘IMDG’ the ‘IMO Hazard Class’ and ‘UN Number’ is mandatory</v>
      </c>
      <c r="I1286" s="236" t="s">
        <v>1853</v>
      </c>
      <c r="J1286" s="52" t="b">
        <f>IF(OR(INDEX(OHZ_HAZ_DGCLASSIFI,29,1)="IMDG",),AND(INDEX(OHZ_HAZ_IMOHAZARDC,29,1)&lt;&gt;"",INDEX(OHZ_HAZ_UNNUMBER,29,1)&lt;&gt;""),TRUE)</f>
        <v>1</v>
      </c>
      <c r="K1286" s="52" t="str">
        <f t="shared" si="42"/>
        <v>Row 29 - If ‘DG classification’ is ‘IMDG’ the ‘IMO Hazard Class’ and ‘UN Number’ is mandatory</v>
      </c>
      <c r="L1286" s="236" t="s">
        <v>1853</v>
      </c>
    </row>
    <row r="1287" spans="7:12">
      <c r="G1287" s="250" t="b">
        <f>IF(OR(INDEX(IHZ_HAZ_DGCLASSIFI,30,1)="IMDG",),AND(INDEX(IHZ_HAZ_IMOHAZARDC,30,1)&lt;&gt;"",INDEX(IHZ_HAZ_UNNUMBER,30,1)&lt;&gt;""),TRUE)</f>
        <v>1</v>
      </c>
      <c r="H1287" s="52" t="str">
        <f t="shared" si="41"/>
        <v>Row 30 - If ‘DG classification’ is ‘IMDG’ the ‘IMO Hazard Class’ and ‘UN Number’ is mandatory</v>
      </c>
      <c r="I1287" s="236" t="s">
        <v>1853</v>
      </c>
      <c r="J1287" s="52" t="b">
        <f>IF(OR(INDEX(OHZ_HAZ_DGCLASSIFI,30,1)="IMDG",),AND(INDEX(OHZ_HAZ_IMOHAZARDC,30,1)&lt;&gt;"",INDEX(OHZ_HAZ_UNNUMBER,30,1)&lt;&gt;""),TRUE)</f>
        <v>1</v>
      </c>
      <c r="K1287" s="52" t="str">
        <f t="shared" si="42"/>
        <v>Row 30 - If ‘DG classification’ is ‘IMDG’ the ‘IMO Hazard Class’ and ‘UN Number’ is mandatory</v>
      </c>
      <c r="L1287" s="236" t="s">
        <v>1853</v>
      </c>
    </row>
    <row r="1288" spans="7:12">
      <c r="G1288" s="250" t="b">
        <f>IF(OR(INDEX(IHZ_HAZ_DGCLASSIFI,31,1)="IMDG",),AND(INDEX(IHZ_HAZ_IMOHAZARDC,31,1)&lt;&gt;"",INDEX(IHZ_HAZ_UNNUMBER,31,1)&lt;&gt;""),TRUE)</f>
        <v>1</v>
      </c>
      <c r="H1288" s="52" t="str">
        <f t="shared" si="41"/>
        <v>Row 31 - If ‘DG classification’ is ‘IMDG’ the ‘IMO Hazard Class’ and ‘UN Number’ is mandatory</v>
      </c>
      <c r="I1288" s="236" t="s">
        <v>1853</v>
      </c>
      <c r="J1288" s="52" t="b">
        <f>IF(OR(INDEX(OHZ_HAZ_DGCLASSIFI,31,1)="IMDG",),AND(INDEX(OHZ_HAZ_IMOHAZARDC,31,1)&lt;&gt;"",INDEX(OHZ_HAZ_UNNUMBER,31,1)&lt;&gt;""),TRUE)</f>
        <v>1</v>
      </c>
      <c r="K1288" s="52" t="str">
        <f t="shared" si="42"/>
        <v>Row 31 - If ‘DG classification’ is ‘IMDG’ the ‘IMO Hazard Class’ and ‘UN Number’ is mandatory</v>
      </c>
      <c r="L1288" s="236" t="s">
        <v>1853</v>
      </c>
    </row>
    <row r="1289" spans="7:12">
      <c r="G1289" s="250" t="b">
        <f>IF(OR(INDEX(IHZ_HAZ_DGCLASSIFI,32,1)="IMDG",),AND(INDEX(IHZ_HAZ_IMOHAZARDC,32,1)&lt;&gt;"",INDEX(IHZ_HAZ_UNNUMBER,32,1)&lt;&gt;""),TRUE)</f>
        <v>1</v>
      </c>
      <c r="H1289" s="52" t="str">
        <f t="shared" si="41"/>
        <v>Row 32 - If ‘DG classification’ is ‘IMDG’ the ‘IMO Hazard Class’ and ‘UN Number’ is mandatory</v>
      </c>
      <c r="I1289" s="236" t="s">
        <v>1853</v>
      </c>
      <c r="J1289" s="52" t="b">
        <f>IF(OR(INDEX(OHZ_HAZ_DGCLASSIFI,32,1)="IMDG",),AND(INDEX(OHZ_HAZ_IMOHAZARDC,32,1)&lt;&gt;"",INDEX(OHZ_HAZ_UNNUMBER,32,1)&lt;&gt;""),TRUE)</f>
        <v>1</v>
      </c>
      <c r="K1289" s="52" t="str">
        <f t="shared" si="42"/>
        <v>Row 32 - If ‘DG classification’ is ‘IMDG’ the ‘IMO Hazard Class’ and ‘UN Number’ is mandatory</v>
      </c>
      <c r="L1289" s="236" t="s">
        <v>1853</v>
      </c>
    </row>
    <row r="1290" spans="7:12">
      <c r="G1290" s="250" t="b">
        <f>IF(OR(INDEX(IHZ_HAZ_DGCLASSIFI,33,1)="IMDG",),AND(INDEX(IHZ_HAZ_IMOHAZARDC,33,1)&lt;&gt;"",INDEX(IHZ_HAZ_UNNUMBER,33,1)&lt;&gt;""),TRUE)</f>
        <v>1</v>
      </c>
      <c r="H1290" s="52" t="str">
        <f t="shared" si="41"/>
        <v>Row 33 - If ‘DG classification’ is ‘IMDG’ the ‘IMO Hazard Class’ and ‘UN Number’ is mandatory</v>
      </c>
      <c r="I1290" s="236" t="s">
        <v>1853</v>
      </c>
      <c r="J1290" s="52" t="b">
        <f>IF(OR(INDEX(OHZ_HAZ_DGCLASSIFI,33,1)="IMDG",),AND(INDEX(OHZ_HAZ_IMOHAZARDC,33,1)&lt;&gt;"",INDEX(OHZ_HAZ_UNNUMBER,33,1)&lt;&gt;""),TRUE)</f>
        <v>1</v>
      </c>
      <c r="K1290" s="52" t="str">
        <f t="shared" si="42"/>
        <v>Row 33 - If ‘DG classification’ is ‘IMDG’ the ‘IMO Hazard Class’ and ‘UN Number’ is mandatory</v>
      </c>
      <c r="L1290" s="236" t="s">
        <v>1853</v>
      </c>
    </row>
    <row r="1291" spans="7:12">
      <c r="G1291" s="250" t="b">
        <f>IF(OR(INDEX(IHZ_HAZ_DGCLASSIFI,34,1)="IMDG",),AND(INDEX(IHZ_HAZ_IMOHAZARDC,34,1)&lt;&gt;"",INDEX(IHZ_HAZ_UNNUMBER,34,1)&lt;&gt;""),TRUE)</f>
        <v>1</v>
      </c>
      <c r="H1291" s="52" t="str">
        <f t="shared" si="41"/>
        <v>Row 34 - If ‘DG classification’ is ‘IMDG’ the ‘IMO Hazard Class’ and ‘UN Number’ is mandatory</v>
      </c>
      <c r="I1291" s="236" t="s">
        <v>1853</v>
      </c>
      <c r="J1291" s="52" t="b">
        <f>IF(OR(INDEX(OHZ_HAZ_DGCLASSIFI,34,1)="IMDG",),AND(INDEX(OHZ_HAZ_IMOHAZARDC,34,1)&lt;&gt;"",INDEX(OHZ_HAZ_UNNUMBER,34,1)&lt;&gt;""),TRUE)</f>
        <v>1</v>
      </c>
      <c r="K1291" s="52" t="str">
        <f t="shared" si="42"/>
        <v>Row 34 - If ‘DG classification’ is ‘IMDG’ the ‘IMO Hazard Class’ and ‘UN Number’ is mandatory</v>
      </c>
      <c r="L1291" s="236" t="s">
        <v>1853</v>
      </c>
    </row>
    <row r="1292" spans="7:12">
      <c r="G1292" s="250" t="b">
        <f>IF(OR(INDEX(IHZ_HAZ_DGCLASSIFI,35,1)="IMDG",),AND(INDEX(IHZ_HAZ_IMOHAZARDC,35,1)&lt;&gt;"",INDEX(IHZ_HAZ_UNNUMBER,35,1)&lt;&gt;""),TRUE)</f>
        <v>1</v>
      </c>
      <c r="H1292" s="52" t="str">
        <f t="shared" si="41"/>
        <v>Row 35 - If ‘DG classification’ is ‘IMDG’ the ‘IMO Hazard Class’ and ‘UN Number’ is mandatory</v>
      </c>
      <c r="I1292" s="236" t="s">
        <v>1853</v>
      </c>
      <c r="J1292" s="52" t="b">
        <f>IF(OR(INDEX(OHZ_HAZ_DGCLASSIFI,35,1)="IMDG",),AND(INDEX(OHZ_HAZ_IMOHAZARDC,35,1)&lt;&gt;"",INDEX(OHZ_HAZ_UNNUMBER,35,1)&lt;&gt;""),TRUE)</f>
        <v>1</v>
      </c>
      <c r="K1292" s="52" t="str">
        <f t="shared" si="42"/>
        <v>Row 35 - If ‘DG classification’ is ‘IMDG’ the ‘IMO Hazard Class’ and ‘UN Number’ is mandatory</v>
      </c>
      <c r="L1292" s="236" t="s">
        <v>1853</v>
      </c>
    </row>
    <row r="1293" spans="7:12">
      <c r="G1293" s="250" t="b">
        <f>IF(OR(INDEX(IHZ_HAZ_DGCLASSIFI,36,1)="IMDG",),AND(INDEX(IHZ_HAZ_IMOHAZARDC,36,1)&lt;&gt;"",INDEX(IHZ_HAZ_UNNUMBER,36,1)&lt;&gt;""),TRUE)</f>
        <v>1</v>
      </c>
      <c r="H1293" s="52" t="str">
        <f t="shared" si="41"/>
        <v>Row 36 - If ‘DG classification’ is ‘IMDG’ the ‘IMO Hazard Class’ and ‘UN Number’ is mandatory</v>
      </c>
      <c r="I1293" s="236" t="s">
        <v>1853</v>
      </c>
      <c r="J1293" s="52" t="b">
        <f>IF(OR(INDEX(OHZ_HAZ_DGCLASSIFI,36,1)="IMDG",),AND(INDEX(OHZ_HAZ_IMOHAZARDC,36,1)&lt;&gt;"",INDEX(OHZ_HAZ_UNNUMBER,36,1)&lt;&gt;""),TRUE)</f>
        <v>1</v>
      </c>
      <c r="K1293" s="52" t="str">
        <f t="shared" si="42"/>
        <v>Row 36 - If ‘DG classification’ is ‘IMDG’ the ‘IMO Hazard Class’ and ‘UN Number’ is mandatory</v>
      </c>
      <c r="L1293" s="236" t="s">
        <v>1853</v>
      </c>
    </row>
    <row r="1294" spans="7:12">
      <c r="G1294" s="250" t="b">
        <f>IF(OR(INDEX(IHZ_HAZ_DGCLASSIFI,37,1)="IMDG",),AND(INDEX(IHZ_HAZ_IMOHAZARDC,37,1)&lt;&gt;"",INDEX(IHZ_HAZ_UNNUMBER,37,1)&lt;&gt;""),TRUE)</f>
        <v>1</v>
      </c>
      <c r="H1294" s="52" t="str">
        <f t="shared" si="41"/>
        <v>Row 37 - If ‘DG classification’ is ‘IMDG’ the ‘IMO Hazard Class’ and ‘UN Number’ is mandatory</v>
      </c>
      <c r="I1294" s="236" t="s">
        <v>1853</v>
      </c>
      <c r="J1294" s="52" t="b">
        <f>IF(OR(INDEX(OHZ_HAZ_DGCLASSIFI,37,1)="IMDG",),AND(INDEX(OHZ_HAZ_IMOHAZARDC,37,1)&lt;&gt;"",INDEX(OHZ_HAZ_UNNUMBER,37,1)&lt;&gt;""),TRUE)</f>
        <v>1</v>
      </c>
      <c r="K1294" s="52" t="str">
        <f t="shared" si="42"/>
        <v>Row 37 - If ‘DG classification’ is ‘IMDG’ the ‘IMO Hazard Class’ and ‘UN Number’ is mandatory</v>
      </c>
    </row>
    <row r="1295" spans="7:12">
      <c r="G1295" s="250" t="b">
        <f>IF(OR(INDEX(IHZ_HAZ_DGCLASSIFI,38,1)="IMDG",),AND(INDEX(IHZ_HAZ_IMOHAZARDC,38,1)&lt;&gt;"",INDEX(IHZ_HAZ_UNNUMBER,38,1)&lt;&gt;""),TRUE)</f>
        <v>1</v>
      </c>
      <c r="H1295" s="52" t="str">
        <f t="shared" si="41"/>
        <v>Row 38 - If ‘DG classification’ is ‘IMDG’ the ‘IMO Hazard Class’ and ‘UN Number’ is mandatory</v>
      </c>
      <c r="I1295" s="236" t="s">
        <v>1853</v>
      </c>
      <c r="J1295" s="52" t="b">
        <f>IF(OR(INDEX(OHZ_HAZ_DGCLASSIFI,38,1)="IMDG",),AND(INDEX(OHZ_HAZ_IMOHAZARDC,38,1)&lt;&gt;"",INDEX(OHZ_HAZ_UNNUMBER,38,1)&lt;&gt;""),TRUE)</f>
        <v>1</v>
      </c>
      <c r="K1295" s="52" t="str">
        <f t="shared" si="42"/>
        <v>Row 38 - If ‘DG classification’ is ‘IMDG’ the ‘IMO Hazard Class’ and ‘UN Number’ is mandatory</v>
      </c>
    </row>
    <row r="1296" spans="7:12">
      <c r="G1296" s="250" t="b">
        <f>IF(OR(INDEX(IHZ_HAZ_DGCLASSIFI,39,1)="IMDG",),AND(INDEX(IHZ_HAZ_IMOHAZARDC,39,1)&lt;&gt;"",INDEX(IHZ_HAZ_UNNUMBER,39,1)&lt;&gt;""),TRUE)</f>
        <v>1</v>
      </c>
      <c r="H1296" s="52" t="str">
        <f t="shared" si="41"/>
        <v>Row 39 - If ‘DG classification’ is ‘IMDG’ the ‘IMO Hazard Class’ and ‘UN Number’ is mandatory</v>
      </c>
      <c r="I1296" s="236" t="s">
        <v>1853</v>
      </c>
      <c r="J1296" s="52" t="b">
        <f>IF(OR(INDEX(OHZ_HAZ_DGCLASSIFI,39,1)="IMDG",),AND(INDEX(OHZ_HAZ_IMOHAZARDC,39,1)&lt;&gt;"",INDEX(OHZ_HAZ_UNNUMBER,39,1)&lt;&gt;""),TRUE)</f>
        <v>1</v>
      </c>
      <c r="K1296" s="52" t="str">
        <f t="shared" si="42"/>
        <v>Row 39 - If ‘DG classification’ is ‘IMDG’ the ‘IMO Hazard Class’ and ‘UN Number’ is mandatory</v>
      </c>
    </row>
    <row r="1297" spans="7:11">
      <c r="G1297" s="250" t="b">
        <f>IF(OR(INDEX(IHZ_HAZ_DGCLASSIFI,40,1)="IMDG",),AND(INDEX(IHZ_HAZ_IMOHAZARDC,40,1)&lt;&gt;"",INDEX(IHZ_HAZ_UNNUMBER,40,1)&lt;&gt;""),TRUE)</f>
        <v>1</v>
      </c>
      <c r="H1297" s="52" t="str">
        <f t="shared" si="41"/>
        <v>Row 40 - If ‘DG classification’ is ‘IMDG’ the ‘IMO Hazard Class’ and ‘UN Number’ is mandatory</v>
      </c>
      <c r="I1297" s="236" t="s">
        <v>1853</v>
      </c>
      <c r="J1297" s="52" t="b">
        <f>IF(OR(INDEX(OHZ_HAZ_DGCLASSIFI,40,1)="IMDG",),AND(INDEX(OHZ_HAZ_IMOHAZARDC,40,1)&lt;&gt;"",INDEX(OHZ_HAZ_UNNUMBER,40,1)&lt;&gt;""),TRUE)</f>
        <v>1</v>
      </c>
      <c r="K1297" s="52" t="str">
        <f t="shared" si="42"/>
        <v>Row 40 - If ‘DG classification’ is ‘IMDG’ the ‘IMO Hazard Class’ and ‘UN Number’ is mandatory</v>
      </c>
    </row>
    <row r="1298" spans="7:11">
      <c r="G1298" s="250" t="b">
        <f>IF(OR(INDEX(IHZ_HAZ_DGCLASSIFI,41,1)="IMDG",),AND(INDEX(IHZ_HAZ_IMOHAZARDC,41,1)&lt;&gt;"",INDEX(IHZ_HAZ_UNNUMBER,41,1)&lt;&gt;""),TRUE)</f>
        <v>1</v>
      </c>
      <c r="H1298" s="52" t="str">
        <f t="shared" si="41"/>
        <v>Row 41 - If ‘DG classification’ is ‘IMDG’ the ‘IMO Hazard Class’ and ‘UN Number’ is mandatory</v>
      </c>
      <c r="I1298" s="236" t="s">
        <v>1853</v>
      </c>
      <c r="J1298" s="52" t="b">
        <f>IF(OR(INDEX(OHZ_HAZ_DGCLASSIFI,41,1)="IMDG",),AND(INDEX(OHZ_HAZ_IMOHAZARDC,41,1)&lt;&gt;"",INDEX(OHZ_HAZ_UNNUMBER,41,1)&lt;&gt;""),TRUE)</f>
        <v>1</v>
      </c>
      <c r="K1298" s="52" t="str">
        <f t="shared" si="42"/>
        <v>Row 41 - If ‘DG classification’ is ‘IMDG’ the ‘IMO Hazard Class’ and ‘UN Number’ is mandatory</v>
      </c>
    </row>
    <row r="1299" spans="7:11">
      <c r="G1299" s="250" t="b">
        <f>IF(OR(INDEX(IHZ_HAZ_DGCLASSIFI,42,1)="IMDG",),AND(INDEX(IHZ_HAZ_IMOHAZARDC,42,1)&lt;&gt;"",INDEX(IHZ_HAZ_UNNUMBER,42,1)&lt;&gt;""),TRUE)</f>
        <v>1</v>
      </c>
      <c r="H1299" s="52" t="str">
        <f t="shared" si="41"/>
        <v>Row 42 - If ‘DG classification’ is ‘IMDG’ the ‘IMO Hazard Class’ and ‘UN Number’ is mandatory</v>
      </c>
      <c r="I1299" s="236" t="s">
        <v>1853</v>
      </c>
      <c r="J1299" s="52" t="b">
        <f>IF(OR(INDEX(OHZ_HAZ_DGCLASSIFI,42,1)="IMDG",),AND(INDEX(OHZ_HAZ_IMOHAZARDC,42,1)&lt;&gt;"",INDEX(OHZ_HAZ_UNNUMBER,42,1)&lt;&gt;""),TRUE)</f>
        <v>1</v>
      </c>
      <c r="K1299" s="52" t="str">
        <f t="shared" si="42"/>
        <v>Row 42 - If ‘DG classification’ is ‘IMDG’ the ‘IMO Hazard Class’ and ‘UN Number’ is mandatory</v>
      </c>
    </row>
    <row r="1300" spans="7:11">
      <c r="G1300" s="250" t="b">
        <f>IF(OR(INDEX(IHZ_HAZ_DGCLASSIFI,43,1)="IMDG",),AND(INDEX(IHZ_HAZ_IMOHAZARDC,43,1)&lt;&gt;"",INDEX(IHZ_HAZ_UNNUMBER,43,1)&lt;&gt;""),TRUE)</f>
        <v>1</v>
      </c>
      <c r="H1300" s="52" t="str">
        <f t="shared" si="41"/>
        <v>Row 43 - If ‘DG classification’ is ‘IMDG’ the ‘IMO Hazard Class’ and ‘UN Number’ is mandatory</v>
      </c>
      <c r="I1300" s="236" t="s">
        <v>1853</v>
      </c>
      <c r="J1300" s="52" t="b">
        <f>IF(OR(INDEX(OHZ_HAZ_DGCLASSIFI,43,1)="IMDG",),AND(INDEX(OHZ_HAZ_IMOHAZARDC,43,1)&lt;&gt;"",INDEX(OHZ_HAZ_UNNUMBER,43,1)&lt;&gt;""),TRUE)</f>
        <v>1</v>
      </c>
      <c r="K1300" s="52" t="str">
        <f t="shared" si="42"/>
        <v>Row 43 - If ‘DG classification’ is ‘IMDG’ the ‘IMO Hazard Class’ and ‘UN Number’ is mandatory</v>
      </c>
    </row>
    <row r="1301" spans="7:11">
      <c r="G1301" s="250" t="b">
        <f>IF(OR(INDEX(IHZ_HAZ_DGCLASSIFI,44,1)="IMDG",),AND(INDEX(IHZ_HAZ_IMOHAZARDC,44,1)&lt;&gt;"",INDEX(IHZ_HAZ_UNNUMBER,44,1)&lt;&gt;""),TRUE)</f>
        <v>1</v>
      </c>
      <c r="H1301" s="52" t="str">
        <f t="shared" si="41"/>
        <v>Row 44 - If ‘DG classification’ is ‘IMDG’ the ‘IMO Hazard Class’ and ‘UN Number’ is mandatory</v>
      </c>
      <c r="I1301" s="236" t="s">
        <v>1853</v>
      </c>
      <c r="J1301" s="52" t="b">
        <f>IF(OR(INDEX(OHZ_HAZ_DGCLASSIFI,44,1)="IMDG",),AND(INDEX(OHZ_HAZ_IMOHAZARDC,44,1)&lt;&gt;"",INDEX(OHZ_HAZ_UNNUMBER,44,1)&lt;&gt;""),TRUE)</f>
        <v>1</v>
      </c>
      <c r="K1301" s="52" t="str">
        <f t="shared" si="42"/>
        <v>Row 44 - If ‘DG classification’ is ‘IMDG’ the ‘IMO Hazard Class’ and ‘UN Number’ is mandatory</v>
      </c>
    </row>
    <row r="1302" spans="7:11">
      <c r="G1302" s="250" t="b">
        <f>IF(OR(INDEX(IHZ_HAZ_DGCLASSIFI,45,1)="IMDG",),AND(INDEX(IHZ_HAZ_IMOHAZARDC,45,1)&lt;&gt;"",INDEX(IHZ_HAZ_UNNUMBER,45,1)&lt;&gt;""),TRUE)</f>
        <v>1</v>
      </c>
      <c r="H1302" s="52" t="str">
        <f t="shared" si="41"/>
        <v>Row 45 - If ‘DG classification’ is ‘IMDG’ the ‘IMO Hazard Class’ and ‘UN Number’ is mandatory</v>
      </c>
      <c r="I1302" s="236" t="s">
        <v>1853</v>
      </c>
      <c r="J1302" s="52" t="b">
        <f>IF(OR(INDEX(OHZ_HAZ_DGCLASSIFI,45,1)="IMDG",),AND(INDEX(OHZ_HAZ_IMOHAZARDC,45,1)&lt;&gt;"",INDEX(OHZ_HAZ_UNNUMBER,45,1)&lt;&gt;""),TRUE)</f>
        <v>1</v>
      </c>
      <c r="K1302" s="52" t="str">
        <f t="shared" si="42"/>
        <v>Row 45 - If ‘DG classification’ is ‘IMDG’ the ‘IMO Hazard Class’ and ‘UN Number’ is mandatory</v>
      </c>
    </row>
    <row r="1303" spans="7:11">
      <c r="G1303" s="250" t="b">
        <f>IF(OR(INDEX(IHZ_HAZ_DGCLASSIFI,46,1)="IMDG",),AND(INDEX(IHZ_HAZ_IMOHAZARDC,46,1)&lt;&gt;"",INDEX(IHZ_HAZ_UNNUMBER,46,1)&lt;&gt;""),TRUE)</f>
        <v>1</v>
      </c>
      <c r="H1303" s="52" t="str">
        <f t="shared" si="41"/>
        <v>Row 46 - If ‘DG classification’ is ‘IMDG’ the ‘IMO Hazard Class’ and ‘UN Number’ is mandatory</v>
      </c>
      <c r="I1303" s="236" t="s">
        <v>1853</v>
      </c>
      <c r="J1303" s="52" t="b">
        <f>IF(OR(INDEX(OHZ_HAZ_DGCLASSIFI,46,1)="IMDG",),AND(INDEX(OHZ_HAZ_IMOHAZARDC,46,1)&lt;&gt;"",INDEX(OHZ_HAZ_UNNUMBER,46,1)&lt;&gt;""),TRUE)</f>
        <v>1</v>
      </c>
      <c r="K1303" s="52" t="str">
        <f t="shared" si="42"/>
        <v>Row 46 - If ‘DG classification’ is ‘IMDG’ the ‘IMO Hazard Class’ and ‘UN Number’ is mandatory</v>
      </c>
    </row>
    <row r="1304" spans="7:11">
      <c r="G1304" s="250" t="b">
        <f>IF(OR(INDEX(IHZ_HAZ_DGCLASSIFI,47,1)="IMDG",),AND(INDEX(IHZ_HAZ_IMOHAZARDC,47,1)&lt;&gt;"",INDEX(IHZ_HAZ_UNNUMBER,47,1)&lt;&gt;""),TRUE)</f>
        <v>1</v>
      </c>
      <c r="H1304" s="52" t="str">
        <f t="shared" si="41"/>
        <v>Row 47 - If ‘DG classification’ is ‘IMDG’ the ‘IMO Hazard Class’ and ‘UN Number’ is mandatory</v>
      </c>
      <c r="I1304" s="236" t="s">
        <v>1853</v>
      </c>
      <c r="J1304" s="52" t="b">
        <f>IF(OR(INDEX(OHZ_HAZ_DGCLASSIFI,47,1)="IMDG",),AND(INDEX(OHZ_HAZ_IMOHAZARDC,47,1)&lt;&gt;"",INDEX(OHZ_HAZ_UNNUMBER,47,1)&lt;&gt;""),TRUE)</f>
        <v>1</v>
      </c>
      <c r="K1304" s="52" t="str">
        <f t="shared" si="42"/>
        <v>Row 47 - If ‘DG classification’ is ‘IMDG’ the ‘IMO Hazard Class’ and ‘UN Number’ is mandatory</v>
      </c>
    </row>
    <row r="1305" spans="7:11">
      <c r="G1305" s="250" t="b">
        <f>IF(OR(INDEX(IHZ_HAZ_DGCLASSIFI,48,1)="IMDG",),AND(INDEX(IHZ_HAZ_IMOHAZARDC,48,1)&lt;&gt;"",INDEX(IHZ_HAZ_UNNUMBER,48,1)&lt;&gt;""),TRUE)</f>
        <v>1</v>
      </c>
      <c r="H1305" s="52" t="str">
        <f t="shared" si="41"/>
        <v>Row 48 - If ‘DG classification’ is ‘IMDG’ the ‘IMO Hazard Class’ and ‘UN Number’ is mandatory</v>
      </c>
      <c r="I1305" s="236" t="s">
        <v>1853</v>
      </c>
      <c r="J1305" s="52" t="b">
        <f>IF(OR(INDEX(OHZ_HAZ_DGCLASSIFI,48,1)="IMDG",),AND(INDEX(OHZ_HAZ_IMOHAZARDC,48,1)&lt;&gt;"",INDEX(OHZ_HAZ_UNNUMBER,48,1)&lt;&gt;""),TRUE)</f>
        <v>1</v>
      </c>
      <c r="K1305" s="52" t="str">
        <f t="shared" si="42"/>
        <v>Row 48 - If ‘DG classification’ is ‘IMDG’ the ‘IMO Hazard Class’ and ‘UN Number’ is mandatory</v>
      </c>
    </row>
    <row r="1306" spans="7:11">
      <c r="G1306" s="250" t="b">
        <f>IF(OR(INDEX(IHZ_HAZ_DGCLASSIFI,49,1)="IMDG",),AND(INDEX(IHZ_HAZ_IMOHAZARDC,49,1)&lt;&gt;"",INDEX(IHZ_HAZ_UNNUMBER,49,1)&lt;&gt;""),TRUE)</f>
        <v>1</v>
      </c>
      <c r="H1306" s="52" t="str">
        <f t="shared" si="41"/>
        <v>Row 49 - If ‘DG classification’ is ‘IMDG’ the ‘IMO Hazard Class’ and ‘UN Number’ is mandatory</v>
      </c>
      <c r="I1306" s="236" t="s">
        <v>1853</v>
      </c>
      <c r="J1306" s="52" t="b">
        <f>IF(OR(INDEX(OHZ_HAZ_DGCLASSIFI,49,1)="IMDG",),AND(INDEX(OHZ_HAZ_IMOHAZARDC,49,1)&lt;&gt;"",INDEX(OHZ_HAZ_UNNUMBER,49,1)&lt;&gt;""),TRUE)</f>
        <v>1</v>
      </c>
      <c r="K1306" s="52" t="str">
        <f t="shared" si="42"/>
        <v>Row 49 - If ‘DG classification’ is ‘IMDG’ the ‘IMO Hazard Class’ and ‘UN Number’ is mandatory</v>
      </c>
    </row>
    <row r="1307" spans="7:11">
      <c r="G1307" s="250" t="b">
        <f>IF(OR(INDEX(IHZ_HAZ_DGCLASSIFI,50,1)="IMDG",),AND(INDEX(IHZ_HAZ_IMOHAZARDC,50,1)&lt;&gt;"",INDEX(IHZ_HAZ_UNNUMBER,50,1)&lt;&gt;""),TRUE)</f>
        <v>1</v>
      </c>
      <c r="H1307" s="52" t="str">
        <f t="shared" si="41"/>
        <v>Row 50 - If ‘DG classification’ is ‘IMDG’ the ‘IMO Hazard Class’ and ‘UN Number’ is mandatory</v>
      </c>
      <c r="I1307" s="236" t="s">
        <v>1853</v>
      </c>
      <c r="J1307" s="52" t="b">
        <f>IF(OR(INDEX(OHZ_HAZ_DGCLASSIFI,50,1)="IMDG",),AND(INDEX(OHZ_HAZ_IMOHAZARDC,50,1)&lt;&gt;"",INDEX(OHZ_HAZ_UNNUMBER,50,1)&lt;&gt;""),TRUE)</f>
        <v>1</v>
      </c>
      <c r="K1307" s="52" t="str">
        <f t="shared" si="42"/>
        <v>Row 50 - If ‘DG classification’ is ‘IMDG’ the ‘IMO Hazard Class’ and ‘UN Number’ is mandatory</v>
      </c>
    </row>
    <row r="1308" spans="7:11">
      <c r="G1308" s="250" t="b">
        <f>IF(OR(INDEX(IHZ_HAZ_DGCLASSIFI,51,1)="IMDG",),AND(INDEX(IHZ_HAZ_IMOHAZARDC,51,1)&lt;&gt;"",INDEX(IHZ_HAZ_UNNUMBER,51,1)&lt;&gt;""),TRUE)</f>
        <v>1</v>
      </c>
      <c r="H1308" s="52" t="str">
        <f t="shared" si="41"/>
        <v>Row 51 - If ‘DG classification’ is ‘IMDG’ the ‘IMO Hazard Class’ and ‘UN Number’ is mandatory</v>
      </c>
      <c r="I1308" s="236" t="s">
        <v>1853</v>
      </c>
      <c r="J1308" s="52" t="b">
        <f>IF(OR(INDEX(OHZ_HAZ_DGCLASSIFI,51,1)="IMDG",),AND(INDEX(OHZ_HAZ_IMOHAZARDC,51,1)&lt;&gt;"",INDEX(OHZ_HAZ_UNNUMBER,51,1)&lt;&gt;""),TRUE)</f>
        <v>1</v>
      </c>
      <c r="K1308" s="52" t="str">
        <f t="shared" si="42"/>
        <v>Row 51 - If ‘DG classification’ is ‘IMDG’ the ‘IMO Hazard Class’ and ‘UN Number’ is mandatory</v>
      </c>
    </row>
    <row r="1309" spans="7:11">
      <c r="G1309" s="250" t="b">
        <f>IF(OR(INDEX(IHZ_HAZ_DGCLASSIFI,52,1)="IMDG",),AND(INDEX(IHZ_HAZ_IMOHAZARDC,52,1)&lt;&gt;"",INDEX(IHZ_HAZ_UNNUMBER,52,1)&lt;&gt;""),TRUE)</f>
        <v>1</v>
      </c>
      <c r="H1309" s="52" t="str">
        <f t="shared" si="41"/>
        <v>Row 52 - If ‘DG classification’ is ‘IMDG’ the ‘IMO Hazard Class’ and ‘UN Number’ is mandatory</v>
      </c>
      <c r="I1309" s="236" t="s">
        <v>1853</v>
      </c>
      <c r="J1309" s="52" t="b">
        <f>IF(OR(INDEX(OHZ_HAZ_DGCLASSIFI,52,1)="IMDG",),AND(INDEX(OHZ_HAZ_IMOHAZARDC,52,1)&lt;&gt;"",INDEX(OHZ_HAZ_UNNUMBER,52,1)&lt;&gt;""),TRUE)</f>
        <v>1</v>
      </c>
      <c r="K1309" s="52" t="str">
        <f t="shared" si="42"/>
        <v>Row 52 - If ‘DG classification’ is ‘IMDG’ the ‘IMO Hazard Class’ and ‘UN Number’ is mandatory</v>
      </c>
    </row>
    <row r="1310" spans="7:11">
      <c r="G1310" s="250" t="b">
        <f>IF(OR(INDEX(IHZ_HAZ_DGCLASSIFI,53,1)="IMDG",),AND(INDEX(IHZ_HAZ_IMOHAZARDC,53,1)&lt;&gt;"",INDEX(IHZ_HAZ_UNNUMBER,53,1)&lt;&gt;""),TRUE)</f>
        <v>1</v>
      </c>
      <c r="H1310" s="52" t="str">
        <f t="shared" si="41"/>
        <v>Row 53 - If ‘DG classification’ is ‘IMDG’ the ‘IMO Hazard Class’ and ‘UN Number’ is mandatory</v>
      </c>
      <c r="I1310" s="236" t="s">
        <v>1853</v>
      </c>
      <c r="J1310" s="52" t="b">
        <f>IF(OR(INDEX(OHZ_HAZ_DGCLASSIFI,53,1)="IMDG",),AND(INDEX(OHZ_HAZ_IMOHAZARDC,53,1)&lt;&gt;"",INDEX(OHZ_HAZ_UNNUMBER,53,1)&lt;&gt;""),TRUE)</f>
        <v>1</v>
      </c>
      <c r="K1310" s="52" t="str">
        <f t="shared" si="42"/>
        <v>Row 53 - If ‘DG classification’ is ‘IMDG’ the ‘IMO Hazard Class’ and ‘UN Number’ is mandatory</v>
      </c>
    </row>
    <row r="1311" spans="7:11">
      <c r="G1311" s="250" t="b">
        <f>IF(OR(INDEX(IHZ_HAZ_DGCLASSIFI,54,1)="IMDG",),AND(INDEX(IHZ_HAZ_IMOHAZARDC,54,1)&lt;&gt;"",INDEX(IHZ_HAZ_UNNUMBER,54,1)&lt;&gt;""),TRUE)</f>
        <v>1</v>
      </c>
      <c r="H1311" s="52" t="str">
        <f t="shared" si="41"/>
        <v>Row 54 - If ‘DG classification’ is ‘IMDG’ the ‘IMO Hazard Class’ and ‘UN Number’ is mandatory</v>
      </c>
      <c r="I1311" s="236" t="s">
        <v>1853</v>
      </c>
      <c r="J1311" s="52" t="b">
        <f>IF(OR(INDEX(OHZ_HAZ_DGCLASSIFI,54,1)="IMDG",),AND(INDEX(OHZ_HAZ_IMOHAZARDC,54,1)&lt;&gt;"",INDEX(OHZ_HAZ_UNNUMBER,54,1)&lt;&gt;""),TRUE)</f>
        <v>1</v>
      </c>
      <c r="K1311" s="52" t="str">
        <f t="shared" si="42"/>
        <v>Row 54 - If ‘DG classification’ is ‘IMDG’ the ‘IMO Hazard Class’ and ‘UN Number’ is mandatory</v>
      </c>
    </row>
    <row r="1312" spans="7:11">
      <c r="G1312" s="250" t="b">
        <f>IF(OR(INDEX(IHZ_HAZ_DGCLASSIFI,55,1)="IMDG",),AND(INDEX(IHZ_HAZ_IMOHAZARDC,55,1)&lt;&gt;"",INDEX(IHZ_HAZ_UNNUMBER,55,1)&lt;&gt;""),TRUE)</f>
        <v>1</v>
      </c>
      <c r="H1312" s="52" t="str">
        <f t="shared" si="41"/>
        <v>Row 55 - If ‘DG classification’ is ‘IMDG’ the ‘IMO Hazard Class’ and ‘UN Number’ is mandatory</v>
      </c>
      <c r="I1312" s="236" t="s">
        <v>1853</v>
      </c>
      <c r="J1312" s="52" t="b">
        <f>IF(OR(INDEX(OHZ_HAZ_DGCLASSIFI,55,1)="IMDG",),AND(INDEX(OHZ_HAZ_IMOHAZARDC,55,1)&lt;&gt;"",INDEX(OHZ_HAZ_UNNUMBER,55,1)&lt;&gt;""),TRUE)</f>
        <v>1</v>
      </c>
      <c r="K1312" s="52" t="str">
        <f t="shared" si="42"/>
        <v>Row 55 - If ‘DG classification’ is ‘IMDG’ the ‘IMO Hazard Class’ and ‘UN Number’ is mandatory</v>
      </c>
    </row>
    <row r="1313" spans="7:11">
      <c r="G1313" s="250" t="b">
        <f>IF(OR(INDEX(IHZ_HAZ_DGCLASSIFI,56,1)="IMDG",),AND(INDEX(IHZ_HAZ_IMOHAZARDC,56,1)&lt;&gt;"",INDEX(IHZ_HAZ_UNNUMBER,56,1)&lt;&gt;""),TRUE)</f>
        <v>1</v>
      </c>
      <c r="H1313" s="52" t="str">
        <f t="shared" si="41"/>
        <v>Row 56 - If ‘DG classification’ is ‘IMDG’ the ‘IMO Hazard Class’ and ‘UN Number’ is mandatory</v>
      </c>
      <c r="I1313" s="236" t="s">
        <v>1853</v>
      </c>
      <c r="J1313" s="52" t="b">
        <f>IF(OR(INDEX(OHZ_HAZ_DGCLASSIFI,56,1)="IMDG",),AND(INDEX(OHZ_HAZ_IMOHAZARDC,56,1)&lt;&gt;"",INDEX(OHZ_HAZ_UNNUMBER,56,1)&lt;&gt;""),TRUE)</f>
        <v>1</v>
      </c>
      <c r="K1313" s="52" t="str">
        <f t="shared" si="42"/>
        <v>Row 56 - If ‘DG classification’ is ‘IMDG’ the ‘IMO Hazard Class’ and ‘UN Number’ is mandatory</v>
      </c>
    </row>
    <row r="1314" spans="7:11">
      <c r="G1314" s="250" t="b">
        <f>IF(OR(INDEX(IHZ_HAZ_DGCLASSIFI,57,1)="IMDG",),AND(INDEX(IHZ_HAZ_IMOHAZARDC,57,1)&lt;&gt;"",INDEX(IHZ_HAZ_UNNUMBER,57,1)&lt;&gt;""),TRUE)</f>
        <v>1</v>
      </c>
      <c r="H1314" s="52" t="str">
        <f t="shared" si="41"/>
        <v>Row 57 - If ‘DG classification’ is ‘IMDG’ the ‘IMO Hazard Class’ and ‘UN Number’ is mandatory</v>
      </c>
      <c r="I1314" s="236" t="s">
        <v>1853</v>
      </c>
      <c r="J1314" s="52" t="b">
        <f>IF(OR(INDEX(OHZ_HAZ_DGCLASSIFI,57,1)="IMDG",),AND(INDEX(OHZ_HAZ_IMOHAZARDC,57,1)&lt;&gt;"",INDEX(OHZ_HAZ_UNNUMBER,57,1)&lt;&gt;""),TRUE)</f>
        <v>1</v>
      </c>
      <c r="K1314" s="52" t="str">
        <f t="shared" si="42"/>
        <v>Row 57 - If ‘DG classification’ is ‘IMDG’ the ‘IMO Hazard Class’ and ‘UN Number’ is mandatory</v>
      </c>
    </row>
    <row r="1315" spans="7:11">
      <c r="G1315" s="250" t="b">
        <f>IF(OR(INDEX(IHZ_HAZ_DGCLASSIFI,58,1)="IMDG",),AND(INDEX(IHZ_HAZ_IMOHAZARDC,58,1)&lt;&gt;"",INDEX(IHZ_HAZ_UNNUMBER,58,1)&lt;&gt;""),TRUE)</f>
        <v>1</v>
      </c>
      <c r="H1315" s="52" t="str">
        <f t="shared" si="41"/>
        <v>Row 58 - If ‘DG classification’ is ‘IMDG’ the ‘IMO Hazard Class’ and ‘UN Number’ is mandatory</v>
      </c>
      <c r="I1315" s="236" t="s">
        <v>1853</v>
      </c>
      <c r="J1315" s="52" t="b">
        <f>IF(OR(INDEX(OHZ_HAZ_DGCLASSIFI,58,1)="IMDG",),AND(INDEX(OHZ_HAZ_IMOHAZARDC,58,1)&lt;&gt;"",INDEX(OHZ_HAZ_UNNUMBER,58,1)&lt;&gt;""),TRUE)</f>
        <v>1</v>
      </c>
      <c r="K1315" s="52" t="str">
        <f t="shared" si="42"/>
        <v>Row 58 - If ‘DG classification’ is ‘IMDG’ the ‘IMO Hazard Class’ and ‘UN Number’ is mandatory</v>
      </c>
    </row>
    <row r="1316" spans="7:11">
      <c r="G1316" s="250" t="b">
        <f>IF(OR(INDEX(IHZ_HAZ_DGCLASSIFI,59,1)="IMDG",),AND(INDEX(IHZ_HAZ_IMOHAZARDC,59,1)&lt;&gt;"",INDEX(IHZ_HAZ_UNNUMBER,59,1)&lt;&gt;""),TRUE)</f>
        <v>1</v>
      </c>
      <c r="H1316" s="52" t="str">
        <f t="shared" si="41"/>
        <v>Row 59 - If ‘DG classification’ is ‘IMDG’ the ‘IMO Hazard Class’ and ‘UN Number’ is mandatory</v>
      </c>
      <c r="I1316" s="236" t="s">
        <v>1853</v>
      </c>
      <c r="J1316" s="52" t="b">
        <f>IF(OR(INDEX(OHZ_HAZ_DGCLASSIFI,59,1)="IMDG",),AND(INDEX(OHZ_HAZ_IMOHAZARDC,59,1)&lt;&gt;"",INDEX(OHZ_HAZ_UNNUMBER,59,1)&lt;&gt;""),TRUE)</f>
        <v>1</v>
      </c>
      <c r="K1316" s="52" t="str">
        <f t="shared" si="42"/>
        <v>Row 59 - If ‘DG classification’ is ‘IMDG’ the ‘IMO Hazard Class’ and ‘UN Number’ is mandatory</v>
      </c>
    </row>
    <row r="1317" spans="7:11">
      <c r="G1317" s="250" t="b">
        <f>IF(OR(INDEX(IHZ_HAZ_DGCLASSIFI,60,1)="IMDG",),AND(INDEX(IHZ_HAZ_IMOHAZARDC,60,1)&lt;&gt;"",INDEX(IHZ_HAZ_UNNUMBER,60,1)&lt;&gt;""),TRUE)</f>
        <v>1</v>
      </c>
      <c r="H1317" s="52" t="str">
        <f t="shared" si="41"/>
        <v>Row 60 - If ‘DG classification’ is ‘IMDG’ the ‘IMO Hazard Class’ and ‘UN Number’ is mandatory</v>
      </c>
      <c r="I1317" s="236" t="s">
        <v>1853</v>
      </c>
      <c r="J1317" s="52" t="b">
        <f>IF(OR(INDEX(OHZ_HAZ_DGCLASSIFI,60,1)="IMDG",),AND(INDEX(OHZ_HAZ_IMOHAZARDC,60,1)&lt;&gt;"",INDEX(OHZ_HAZ_UNNUMBER,60,1)&lt;&gt;""),TRUE)</f>
        <v>1</v>
      </c>
      <c r="K1317" s="52" t="str">
        <f t="shared" si="42"/>
        <v>Row 60 - If ‘DG classification’ is ‘IMDG’ the ‘IMO Hazard Class’ and ‘UN Number’ is mandatory</v>
      </c>
    </row>
    <row r="1318" spans="7:11">
      <c r="G1318" s="250" t="b">
        <f>IF(OR(INDEX(IHZ_HAZ_DGCLASSIFI,61,1)="IMDG",),AND(INDEX(IHZ_HAZ_IMOHAZARDC,61,1)&lt;&gt;"",INDEX(IHZ_HAZ_UNNUMBER,61,1)&lt;&gt;""),TRUE)</f>
        <v>1</v>
      </c>
      <c r="H1318" s="52" t="str">
        <f t="shared" si="41"/>
        <v>Row 61 - If ‘DG classification’ is ‘IMDG’ the ‘IMO Hazard Class’ and ‘UN Number’ is mandatory</v>
      </c>
      <c r="I1318" s="236" t="s">
        <v>1853</v>
      </c>
      <c r="J1318" s="52" t="b">
        <f>IF(OR(INDEX(OHZ_HAZ_DGCLASSIFI,61,1)="IMDG",),AND(INDEX(OHZ_HAZ_IMOHAZARDC,61,1)&lt;&gt;"",INDEX(OHZ_HAZ_UNNUMBER,61,1)&lt;&gt;""),TRUE)</f>
        <v>1</v>
      </c>
      <c r="K1318" s="52" t="str">
        <f t="shared" si="42"/>
        <v>Row 61 - If ‘DG classification’ is ‘IMDG’ the ‘IMO Hazard Class’ and ‘UN Number’ is mandatory</v>
      </c>
    </row>
    <row r="1319" spans="7:11">
      <c r="G1319" s="250" t="b">
        <f>IF(OR(INDEX(IHZ_HAZ_DGCLASSIFI,62,1)="IMDG",),AND(INDEX(IHZ_HAZ_IMOHAZARDC,62,1)&lt;&gt;"",INDEX(IHZ_HAZ_UNNUMBER,62,1)&lt;&gt;""),TRUE)</f>
        <v>1</v>
      </c>
      <c r="H1319" s="52" t="str">
        <f t="shared" si="41"/>
        <v>Row 62 - If ‘DG classification’ is ‘IMDG’ the ‘IMO Hazard Class’ and ‘UN Number’ is mandatory</v>
      </c>
      <c r="I1319" s="236" t="s">
        <v>1853</v>
      </c>
      <c r="J1319" s="52" t="b">
        <f>IF(OR(INDEX(OHZ_HAZ_DGCLASSIFI,62,1)="IMDG",),AND(INDEX(OHZ_HAZ_IMOHAZARDC,62,1)&lt;&gt;"",INDEX(OHZ_HAZ_UNNUMBER,62,1)&lt;&gt;""),TRUE)</f>
        <v>1</v>
      </c>
      <c r="K1319" s="52" t="str">
        <f t="shared" si="42"/>
        <v>Row 62 - If ‘DG classification’ is ‘IMDG’ the ‘IMO Hazard Class’ and ‘UN Number’ is mandatory</v>
      </c>
    </row>
    <row r="1320" spans="7:11">
      <c r="G1320" s="250" t="b">
        <f>IF(OR(INDEX(IHZ_HAZ_DGCLASSIFI,63,1)="IMDG",),AND(INDEX(IHZ_HAZ_IMOHAZARDC,63,1)&lt;&gt;"",INDEX(IHZ_HAZ_UNNUMBER,63,1)&lt;&gt;""),TRUE)</f>
        <v>1</v>
      </c>
      <c r="H1320" s="52" t="str">
        <f t="shared" si="41"/>
        <v>Row 63 - If ‘DG classification’ is ‘IMDG’ the ‘IMO Hazard Class’ and ‘UN Number’ is mandatory</v>
      </c>
      <c r="I1320" s="236" t="s">
        <v>1853</v>
      </c>
      <c r="J1320" s="52" t="b">
        <f>IF(OR(INDEX(OHZ_HAZ_DGCLASSIFI,63,1)="IMDG",),AND(INDEX(OHZ_HAZ_IMOHAZARDC,63,1)&lt;&gt;"",INDEX(OHZ_HAZ_UNNUMBER,63,1)&lt;&gt;""),TRUE)</f>
        <v>1</v>
      </c>
      <c r="K1320" s="52" t="str">
        <f t="shared" si="42"/>
        <v>Row 63 - If ‘DG classification’ is ‘IMDG’ the ‘IMO Hazard Class’ and ‘UN Number’ is mandatory</v>
      </c>
    </row>
    <row r="1321" spans="7:11">
      <c r="G1321" s="250" t="b">
        <f>IF(OR(INDEX(IHZ_HAZ_DGCLASSIFI,64,1)="IMDG",),AND(INDEX(IHZ_HAZ_IMOHAZARDC,64,1)&lt;&gt;"",INDEX(IHZ_HAZ_UNNUMBER,64,1)&lt;&gt;""),TRUE)</f>
        <v>1</v>
      </c>
      <c r="H1321" s="52" t="str">
        <f t="shared" si="41"/>
        <v>Row 64 - If ‘DG classification’ is ‘IMDG’ the ‘IMO Hazard Class’ and ‘UN Number’ is mandatory</v>
      </c>
      <c r="I1321" s="236" t="s">
        <v>1853</v>
      </c>
      <c r="J1321" s="52" t="b">
        <f>IF(OR(INDEX(OHZ_HAZ_DGCLASSIFI,64,1)="IMDG",),AND(INDEX(OHZ_HAZ_IMOHAZARDC,64,1)&lt;&gt;"",INDEX(OHZ_HAZ_UNNUMBER,64,1)&lt;&gt;""),TRUE)</f>
        <v>1</v>
      </c>
      <c r="K1321" s="52" t="str">
        <f t="shared" si="42"/>
        <v>Row 64 - If ‘DG classification’ is ‘IMDG’ the ‘IMO Hazard Class’ and ‘UN Number’ is mandatory</v>
      </c>
    </row>
    <row r="1322" spans="7:11">
      <c r="G1322" s="250" t="b">
        <f>IF(OR(INDEX(IHZ_HAZ_DGCLASSIFI,65,1)="IMDG",),AND(INDEX(IHZ_HAZ_IMOHAZARDC,65,1)&lt;&gt;"",INDEX(IHZ_HAZ_UNNUMBER,65,1)&lt;&gt;""),TRUE)</f>
        <v>1</v>
      </c>
      <c r="H1322" s="52" t="str">
        <f t="shared" si="41"/>
        <v>Row 65 - If ‘DG classification’ is ‘IMDG’ the ‘IMO Hazard Class’ and ‘UN Number’ is mandatory</v>
      </c>
      <c r="I1322" s="236" t="s">
        <v>1853</v>
      </c>
      <c r="J1322" s="52" t="b">
        <f>IF(OR(INDEX(OHZ_HAZ_DGCLASSIFI,65,1)="IMDG",),AND(INDEX(OHZ_HAZ_IMOHAZARDC,65,1)&lt;&gt;"",INDEX(OHZ_HAZ_UNNUMBER,65,1)&lt;&gt;""),TRUE)</f>
        <v>1</v>
      </c>
      <c r="K1322" s="52" t="str">
        <f t="shared" si="42"/>
        <v>Row 65 - If ‘DG classification’ is ‘IMDG’ the ‘IMO Hazard Class’ and ‘UN Number’ is mandatory</v>
      </c>
    </row>
    <row r="1323" spans="7:11">
      <c r="G1323" s="250" t="b">
        <f>IF(OR(INDEX(IHZ_HAZ_DGCLASSIFI,66,1)="IMDG",),AND(INDEX(IHZ_HAZ_IMOHAZARDC,66,1)&lt;&gt;"",INDEX(IHZ_HAZ_UNNUMBER,66,1)&lt;&gt;""),TRUE)</f>
        <v>1</v>
      </c>
      <c r="H1323" s="52" t="str">
        <f t="shared" ref="H1323:H1386" si="43">T66&amp;$V$6</f>
        <v>Row 66 - If ‘DG classification’ is ‘IMDG’ the ‘IMO Hazard Class’ and ‘UN Number’ is mandatory</v>
      </c>
      <c r="I1323" s="236" t="s">
        <v>1853</v>
      </c>
      <c r="J1323" s="52" t="b">
        <f>IF(OR(INDEX(OHZ_HAZ_DGCLASSIFI,66,1)="IMDG",),AND(INDEX(OHZ_HAZ_IMOHAZARDC,66,1)&lt;&gt;"",INDEX(OHZ_HAZ_UNNUMBER,66,1)&lt;&gt;""),TRUE)</f>
        <v>1</v>
      </c>
      <c r="K1323" s="52" t="str">
        <f t="shared" ref="K1323:K1386" si="44">T66&amp;$V$6</f>
        <v>Row 66 - If ‘DG classification’ is ‘IMDG’ the ‘IMO Hazard Class’ and ‘UN Number’ is mandatory</v>
      </c>
    </row>
    <row r="1324" spans="7:11">
      <c r="G1324" s="250" t="b">
        <f>IF(OR(INDEX(IHZ_HAZ_DGCLASSIFI,67,1)="IMDG",),AND(INDEX(IHZ_HAZ_IMOHAZARDC,67,1)&lt;&gt;"",INDEX(IHZ_HAZ_UNNUMBER,67,1)&lt;&gt;""),TRUE)</f>
        <v>1</v>
      </c>
      <c r="H1324" s="52" t="str">
        <f t="shared" si="43"/>
        <v>Row 67 - If ‘DG classification’ is ‘IMDG’ the ‘IMO Hazard Class’ and ‘UN Number’ is mandatory</v>
      </c>
      <c r="I1324" s="236" t="s">
        <v>1853</v>
      </c>
      <c r="J1324" s="52" t="b">
        <f>IF(OR(INDEX(OHZ_HAZ_DGCLASSIFI,67,1)="IMDG",),AND(INDEX(OHZ_HAZ_IMOHAZARDC,67,1)&lt;&gt;"",INDEX(OHZ_HAZ_UNNUMBER,67,1)&lt;&gt;""),TRUE)</f>
        <v>1</v>
      </c>
      <c r="K1324" s="52" t="str">
        <f t="shared" si="44"/>
        <v>Row 67 - If ‘DG classification’ is ‘IMDG’ the ‘IMO Hazard Class’ and ‘UN Number’ is mandatory</v>
      </c>
    </row>
    <row r="1325" spans="7:11">
      <c r="G1325" s="250" t="b">
        <f>IF(OR(INDEX(IHZ_HAZ_DGCLASSIFI,68,1)="IMDG",),AND(INDEX(IHZ_HAZ_IMOHAZARDC,68,1)&lt;&gt;"",INDEX(IHZ_HAZ_UNNUMBER,68,1)&lt;&gt;""),TRUE)</f>
        <v>1</v>
      </c>
      <c r="H1325" s="52" t="str">
        <f t="shared" si="43"/>
        <v>Row 68 - If ‘DG classification’ is ‘IMDG’ the ‘IMO Hazard Class’ and ‘UN Number’ is mandatory</v>
      </c>
      <c r="I1325" s="236" t="s">
        <v>1853</v>
      </c>
      <c r="J1325" s="52" t="b">
        <f>IF(OR(INDEX(OHZ_HAZ_DGCLASSIFI,68,1)="IMDG",),AND(INDEX(OHZ_HAZ_IMOHAZARDC,68,1)&lt;&gt;"",INDEX(OHZ_HAZ_UNNUMBER,68,1)&lt;&gt;""),TRUE)</f>
        <v>1</v>
      </c>
      <c r="K1325" s="52" t="str">
        <f t="shared" si="44"/>
        <v>Row 68 - If ‘DG classification’ is ‘IMDG’ the ‘IMO Hazard Class’ and ‘UN Number’ is mandatory</v>
      </c>
    </row>
    <row r="1326" spans="7:11">
      <c r="G1326" s="250" t="b">
        <f>IF(OR(INDEX(IHZ_HAZ_DGCLASSIFI,69,1)="IMDG",),AND(INDEX(IHZ_HAZ_IMOHAZARDC,69,1)&lt;&gt;"",INDEX(IHZ_HAZ_UNNUMBER,69,1)&lt;&gt;""),TRUE)</f>
        <v>1</v>
      </c>
      <c r="H1326" s="52" t="str">
        <f t="shared" si="43"/>
        <v>Row 69 - If ‘DG classification’ is ‘IMDG’ the ‘IMO Hazard Class’ and ‘UN Number’ is mandatory</v>
      </c>
      <c r="I1326" s="236" t="s">
        <v>1853</v>
      </c>
      <c r="J1326" s="52" t="b">
        <f>IF(OR(INDEX(OHZ_HAZ_DGCLASSIFI,69,1)="IMDG",),AND(INDEX(OHZ_HAZ_IMOHAZARDC,69,1)&lt;&gt;"",INDEX(OHZ_HAZ_UNNUMBER,69,1)&lt;&gt;""),TRUE)</f>
        <v>1</v>
      </c>
      <c r="K1326" s="52" t="str">
        <f t="shared" si="44"/>
        <v>Row 69 - If ‘DG classification’ is ‘IMDG’ the ‘IMO Hazard Class’ and ‘UN Number’ is mandatory</v>
      </c>
    </row>
    <row r="1327" spans="7:11">
      <c r="G1327" s="250" t="b">
        <f>IF(OR(INDEX(IHZ_HAZ_DGCLASSIFI,70,1)="IMDG",),AND(INDEX(IHZ_HAZ_IMOHAZARDC,70,1)&lt;&gt;"",INDEX(IHZ_HAZ_UNNUMBER,70,1)&lt;&gt;""),TRUE)</f>
        <v>1</v>
      </c>
      <c r="H1327" s="52" t="str">
        <f t="shared" si="43"/>
        <v>Row 70 - If ‘DG classification’ is ‘IMDG’ the ‘IMO Hazard Class’ and ‘UN Number’ is mandatory</v>
      </c>
      <c r="I1327" s="236" t="s">
        <v>1853</v>
      </c>
      <c r="J1327" s="52" t="b">
        <f>IF(OR(INDEX(OHZ_HAZ_DGCLASSIFI,70,1)="IMDG",),AND(INDEX(OHZ_HAZ_IMOHAZARDC,70,1)&lt;&gt;"",INDEX(OHZ_HAZ_UNNUMBER,70,1)&lt;&gt;""),TRUE)</f>
        <v>1</v>
      </c>
      <c r="K1327" s="52" t="str">
        <f t="shared" si="44"/>
        <v>Row 70 - If ‘DG classification’ is ‘IMDG’ the ‘IMO Hazard Class’ and ‘UN Number’ is mandatory</v>
      </c>
    </row>
    <row r="1328" spans="7:11">
      <c r="G1328" s="250" t="b">
        <f>IF(OR(INDEX(IHZ_HAZ_DGCLASSIFI,71,1)="IMDG",),AND(INDEX(IHZ_HAZ_IMOHAZARDC,71,1)&lt;&gt;"",INDEX(IHZ_HAZ_UNNUMBER,71,1)&lt;&gt;""),TRUE)</f>
        <v>1</v>
      </c>
      <c r="H1328" s="52" t="str">
        <f t="shared" si="43"/>
        <v>Row 71 - If ‘DG classification’ is ‘IMDG’ the ‘IMO Hazard Class’ and ‘UN Number’ is mandatory</v>
      </c>
      <c r="I1328" s="236" t="s">
        <v>1853</v>
      </c>
      <c r="J1328" s="52" t="b">
        <f>IF(OR(INDEX(OHZ_HAZ_DGCLASSIFI,71,1)="IMDG",),AND(INDEX(OHZ_HAZ_IMOHAZARDC,71,1)&lt;&gt;"",INDEX(OHZ_HAZ_UNNUMBER,71,1)&lt;&gt;""),TRUE)</f>
        <v>1</v>
      </c>
      <c r="K1328" s="52" t="str">
        <f t="shared" si="44"/>
        <v>Row 71 - If ‘DG classification’ is ‘IMDG’ the ‘IMO Hazard Class’ and ‘UN Number’ is mandatory</v>
      </c>
    </row>
    <row r="1329" spans="7:11">
      <c r="G1329" s="250" t="b">
        <f>IF(OR(INDEX(IHZ_HAZ_DGCLASSIFI,72,1)="IMDG",),AND(INDEX(IHZ_HAZ_IMOHAZARDC,72,1)&lt;&gt;"",INDEX(IHZ_HAZ_UNNUMBER,72,1)&lt;&gt;""),TRUE)</f>
        <v>1</v>
      </c>
      <c r="H1329" s="52" t="str">
        <f t="shared" si="43"/>
        <v>Row 72 - If ‘DG classification’ is ‘IMDG’ the ‘IMO Hazard Class’ and ‘UN Number’ is mandatory</v>
      </c>
      <c r="I1329" s="236" t="s">
        <v>1853</v>
      </c>
      <c r="J1329" s="52" t="b">
        <f>IF(OR(INDEX(OHZ_HAZ_DGCLASSIFI,72,1)="IMDG",),AND(INDEX(OHZ_HAZ_IMOHAZARDC,72,1)&lt;&gt;"",INDEX(OHZ_HAZ_UNNUMBER,72,1)&lt;&gt;""),TRUE)</f>
        <v>1</v>
      </c>
      <c r="K1329" s="52" t="str">
        <f t="shared" si="44"/>
        <v>Row 72 - If ‘DG classification’ is ‘IMDG’ the ‘IMO Hazard Class’ and ‘UN Number’ is mandatory</v>
      </c>
    </row>
    <row r="1330" spans="7:11">
      <c r="G1330" s="250" t="b">
        <f>IF(OR(INDEX(IHZ_HAZ_DGCLASSIFI,73,1)="IMDG",),AND(INDEX(IHZ_HAZ_IMOHAZARDC,73,1)&lt;&gt;"",INDEX(IHZ_HAZ_UNNUMBER,73,1)&lt;&gt;""),TRUE)</f>
        <v>1</v>
      </c>
      <c r="H1330" s="52" t="str">
        <f t="shared" si="43"/>
        <v>Row 73 - If ‘DG classification’ is ‘IMDG’ the ‘IMO Hazard Class’ and ‘UN Number’ is mandatory</v>
      </c>
      <c r="I1330" s="236" t="s">
        <v>1853</v>
      </c>
      <c r="J1330" s="52" t="b">
        <f>IF(OR(INDEX(OHZ_HAZ_DGCLASSIFI,73,1)="IMDG",),AND(INDEX(OHZ_HAZ_IMOHAZARDC,73,1)&lt;&gt;"",INDEX(OHZ_HAZ_UNNUMBER,73,1)&lt;&gt;""),TRUE)</f>
        <v>1</v>
      </c>
      <c r="K1330" s="52" t="str">
        <f t="shared" si="44"/>
        <v>Row 73 - If ‘DG classification’ is ‘IMDG’ the ‘IMO Hazard Class’ and ‘UN Number’ is mandatory</v>
      </c>
    </row>
    <row r="1331" spans="7:11">
      <c r="G1331" s="250" t="b">
        <f>IF(OR(INDEX(IHZ_HAZ_DGCLASSIFI,74,1)="IMDG",),AND(INDEX(IHZ_HAZ_IMOHAZARDC,74,1)&lt;&gt;"",INDEX(IHZ_HAZ_UNNUMBER,74,1)&lt;&gt;""),TRUE)</f>
        <v>1</v>
      </c>
      <c r="H1331" s="52" t="str">
        <f t="shared" si="43"/>
        <v>Row 74 - If ‘DG classification’ is ‘IMDG’ the ‘IMO Hazard Class’ and ‘UN Number’ is mandatory</v>
      </c>
      <c r="I1331" s="236" t="s">
        <v>1853</v>
      </c>
      <c r="J1331" s="52" t="b">
        <f>IF(OR(INDEX(OHZ_HAZ_DGCLASSIFI,74,1)="IMDG",),AND(INDEX(OHZ_HAZ_IMOHAZARDC,74,1)&lt;&gt;"",INDEX(OHZ_HAZ_UNNUMBER,74,1)&lt;&gt;""),TRUE)</f>
        <v>1</v>
      </c>
      <c r="K1331" s="52" t="str">
        <f t="shared" si="44"/>
        <v>Row 74 - If ‘DG classification’ is ‘IMDG’ the ‘IMO Hazard Class’ and ‘UN Number’ is mandatory</v>
      </c>
    </row>
    <row r="1332" spans="7:11">
      <c r="G1332" s="250" t="b">
        <f>IF(OR(INDEX(IHZ_HAZ_DGCLASSIFI,75,1)="IMDG",),AND(INDEX(IHZ_HAZ_IMOHAZARDC,75,1)&lt;&gt;"",INDEX(IHZ_HAZ_UNNUMBER,75,1)&lt;&gt;""),TRUE)</f>
        <v>1</v>
      </c>
      <c r="H1332" s="52" t="str">
        <f t="shared" si="43"/>
        <v>Row 75 - If ‘DG classification’ is ‘IMDG’ the ‘IMO Hazard Class’ and ‘UN Number’ is mandatory</v>
      </c>
      <c r="I1332" s="236" t="s">
        <v>1853</v>
      </c>
      <c r="J1332" s="52" t="b">
        <f>IF(OR(INDEX(OHZ_HAZ_DGCLASSIFI,75,1)="IMDG",),AND(INDEX(OHZ_HAZ_IMOHAZARDC,75,1)&lt;&gt;"",INDEX(OHZ_HAZ_UNNUMBER,75,1)&lt;&gt;""),TRUE)</f>
        <v>1</v>
      </c>
      <c r="K1332" s="52" t="str">
        <f t="shared" si="44"/>
        <v>Row 75 - If ‘DG classification’ is ‘IMDG’ the ‘IMO Hazard Class’ and ‘UN Number’ is mandatory</v>
      </c>
    </row>
    <row r="1333" spans="7:11">
      <c r="G1333" s="250" t="b">
        <f>IF(OR(INDEX(IHZ_HAZ_DGCLASSIFI,76,1)="IMDG",),AND(INDEX(IHZ_HAZ_IMOHAZARDC,76,1)&lt;&gt;"",INDEX(IHZ_HAZ_UNNUMBER,76,1)&lt;&gt;""),TRUE)</f>
        <v>1</v>
      </c>
      <c r="H1333" s="52" t="str">
        <f t="shared" si="43"/>
        <v>Row 76 - If ‘DG classification’ is ‘IMDG’ the ‘IMO Hazard Class’ and ‘UN Number’ is mandatory</v>
      </c>
      <c r="I1333" s="236" t="s">
        <v>1853</v>
      </c>
      <c r="J1333" s="52" t="b">
        <f>IF(OR(INDEX(OHZ_HAZ_DGCLASSIFI,76,1)="IMDG",),AND(INDEX(OHZ_HAZ_IMOHAZARDC,76,1)&lt;&gt;"",INDEX(OHZ_HAZ_UNNUMBER,76,1)&lt;&gt;""),TRUE)</f>
        <v>1</v>
      </c>
      <c r="K1333" s="52" t="str">
        <f t="shared" si="44"/>
        <v>Row 76 - If ‘DG classification’ is ‘IMDG’ the ‘IMO Hazard Class’ and ‘UN Number’ is mandatory</v>
      </c>
    </row>
    <row r="1334" spans="7:11">
      <c r="G1334" s="250" t="b">
        <f>IF(OR(INDEX(IHZ_HAZ_DGCLASSIFI,77,1)="IMDG",),AND(INDEX(IHZ_HAZ_IMOHAZARDC,77,1)&lt;&gt;"",INDEX(IHZ_HAZ_UNNUMBER,77,1)&lt;&gt;""),TRUE)</f>
        <v>1</v>
      </c>
      <c r="H1334" s="52" t="str">
        <f t="shared" si="43"/>
        <v>Row 77 - If ‘DG classification’ is ‘IMDG’ the ‘IMO Hazard Class’ and ‘UN Number’ is mandatory</v>
      </c>
      <c r="I1334" s="236" t="s">
        <v>1853</v>
      </c>
      <c r="J1334" s="52" t="b">
        <f>IF(OR(INDEX(OHZ_HAZ_DGCLASSIFI,77,1)="IMDG",),AND(INDEX(OHZ_HAZ_IMOHAZARDC,77,1)&lt;&gt;"",INDEX(OHZ_HAZ_UNNUMBER,77,1)&lt;&gt;""),TRUE)</f>
        <v>1</v>
      </c>
      <c r="K1334" s="52" t="str">
        <f t="shared" si="44"/>
        <v>Row 77 - If ‘DG classification’ is ‘IMDG’ the ‘IMO Hazard Class’ and ‘UN Number’ is mandatory</v>
      </c>
    </row>
    <row r="1335" spans="7:11">
      <c r="G1335" s="250" t="b">
        <f>IF(OR(INDEX(IHZ_HAZ_DGCLASSIFI,78,1)="IMDG",),AND(INDEX(IHZ_HAZ_IMOHAZARDC,78,1)&lt;&gt;"",INDEX(IHZ_HAZ_UNNUMBER,78,1)&lt;&gt;""),TRUE)</f>
        <v>1</v>
      </c>
      <c r="H1335" s="52" t="str">
        <f t="shared" si="43"/>
        <v>Row 78 - If ‘DG classification’ is ‘IMDG’ the ‘IMO Hazard Class’ and ‘UN Number’ is mandatory</v>
      </c>
      <c r="I1335" s="236" t="s">
        <v>1853</v>
      </c>
      <c r="J1335" s="52" t="b">
        <f>IF(OR(INDEX(OHZ_HAZ_DGCLASSIFI,78,1)="IMDG",),AND(INDEX(OHZ_HAZ_IMOHAZARDC,78,1)&lt;&gt;"",INDEX(OHZ_HAZ_UNNUMBER,78,1)&lt;&gt;""),TRUE)</f>
        <v>1</v>
      </c>
      <c r="K1335" s="52" t="str">
        <f t="shared" si="44"/>
        <v>Row 78 - If ‘DG classification’ is ‘IMDG’ the ‘IMO Hazard Class’ and ‘UN Number’ is mandatory</v>
      </c>
    </row>
    <row r="1336" spans="7:11">
      <c r="G1336" s="250" t="b">
        <f>IF(OR(INDEX(IHZ_HAZ_DGCLASSIFI,79,1)="IMDG",),AND(INDEX(IHZ_HAZ_IMOHAZARDC,79,1)&lt;&gt;"",INDEX(IHZ_HAZ_UNNUMBER,79,1)&lt;&gt;""),TRUE)</f>
        <v>1</v>
      </c>
      <c r="H1336" s="52" t="str">
        <f t="shared" si="43"/>
        <v>Row 79 - If ‘DG classification’ is ‘IMDG’ the ‘IMO Hazard Class’ and ‘UN Number’ is mandatory</v>
      </c>
      <c r="I1336" s="236" t="s">
        <v>1853</v>
      </c>
      <c r="J1336" s="52" t="b">
        <f>IF(OR(INDEX(OHZ_HAZ_DGCLASSIFI,79,1)="IMDG",),AND(INDEX(OHZ_HAZ_IMOHAZARDC,79,1)&lt;&gt;"",INDEX(OHZ_HAZ_UNNUMBER,79,1)&lt;&gt;""),TRUE)</f>
        <v>1</v>
      </c>
      <c r="K1336" s="52" t="str">
        <f t="shared" si="44"/>
        <v>Row 79 - If ‘DG classification’ is ‘IMDG’ the ‘IMO Hazard Class’ and ‘UN Number’ is mandatory</v>
      </c>
    </row>
    <row r="1337" spans="7:11">
      <c r="G1337" s="250" t="b">
        <f>IF(OR(INDEX(IHZ_HAZ_DGCLASSIFI,80,1)="IMDG",),AND(INDEX(IHZ_HAZ_IMOHAZARDC,80,1)&lt;&gt;"",INDEX(IHZ_HAZ_UNNUMBER,80,1)&lt;&gt;""),TRUE)</f>
        <v>1</v>
      </c>
      <c r="H1337" s="52" t="str">
        <f t="shared" si="43"/>
        <v>Row 80 - If ‘DG classification’ is ‘IMDG’ the ‘IMO Hazard Class’ and ‘UN Number’ is mandatory</v>
      </c>
      <c r="I1337" s="236" t="s">
        <v>1853</v>
      </c>
      <c r="J1337" s="52" t="b">
        <f>IF(OR(INDEX(OHZ_HAZ_DGCLASSIFI,80,1)="IMDG",),AND(INDEX(OHZ_HAZ_IMOHAZARDC,80,1)&lt;&gt;"",INDEX(OHZ_HAZ_UNNUMBER,80,1)&lt;&gt;""),TRUE)</f>
        <v>1</v>
      </c>
      <c r="K1337" s="52" t="str">
        <f t="shared" si="44"/>
        <v>Row 80 - If ‘DG classification’ is ‘IMDG’ the ‘IMO Hazard Class’ and ‘UN Number’ is mandatory</v>
      </c>
    </row>
    <row r="1338" spans="7:11">
      <c r="G1338" s="250" t="b">
        <f>IF(OR(INDEX(IHZ_HAZ_DGCLASSIFI,81,1)="IMDG",),AND(INDEX(IHZ_HAZ_IMOHAZARDC,81,1)&lt;&gt;"",INDEX(IHZ_HAZ_UNNUMBER,81,1)&lt;&gt;""),TRUE)</f>
        <v>1</v>
      </c>
      <c r="H1338" s="52" t="str">
        <f t="shared" si="43"/>
        <v>Row 81 - If ‘DG classification’ is ‘IMDG’ the ‘IMO Hazard Class’ and ‘UN Number’ is mandatory</v>
      </c>
      <c r="I1338" s="236" t="s">
        <v>1853</v>
      </c>
      <c r="J1338" s="52" t="b">
        <f>IF(OR(INDEX(OHZ_HAZ_DGCLASSIFI,81,1)="IMDG",),AND(INDEX(OHZ_HAZ_IMOHAZARDC,81,1)&lt;&gt;"",INDEX(OHZ_HAZ_UNNUMBER,81,1)&lt;&gt;""),TRUE)</f>
        <v>1</v>
      </c>
      <c r="K1338" s="52" t="str">
        <f t="shared" si="44"/>
        <v>Row 81 - If ‘DG classification’ is ‘IMDG’ the ‘IMO Hazard Class’ and ‘UN Number’ is mandatory</v>
      </c>
    </row>
    <row r="1339" spans="7:11">
      <c r="G1339" s="250" t="b">
        <f>IF(OR(INDEX(IHZ_HAZ_DGCLASSIFI,82,1)="IMDG",),AND(INDEX(IHZ_HAZ_IMOHAZARDC,82,1)&lt;&gt;"",INDEX(IHZ_HAZ_UNNUMBER,82,1)&lt;&gt;""),TRUE)</f>
        <v>1</v>
      </c>
      <c r="H1339" s="52" t="str">
        <f t="shared" si="43"/>
        <v>Row 82 - If ‘DG classification’ is ‘IMDG’ the ‘IMO Hazard Class’ and ‘UN Number’ is mandatory</v>
      </c>
      <c r="I1339" s="236" t="s">
        <v>1853</v>
      </c>
      <c r="J1339" s="52" t="b">
        <f>IF(OR(INDEX(OHZ_HAZ_DGCLASSIFI,82,1)="IMDG",),AND(INDEX(OHZ_HAZ_IMOHAZARDC,82,1)&lt;&gt;"",INDEX(OHZ_HAZ_UNNUMBER,82,1)&lt;&gt;""),TRUE)</f>
        <v>1</v>
      </c>
      <c r="K1339" s="52" t="str">
        <f t="shared" si="44"/>
        <v>Row 82 - If ‘DG classification’ is ‘IMDG’ the ‘IMO Hazard Class’ and ‘UN Number’ is mandatory</v>
      </c>
    </row>
    <row r="1340" spans="7:11">
      <c r="G1340" s="250" t="b">
        <f>IF(OR(INDEX(IHZ_HAZ_DGCLASSIFI,83,1)="IMDG",),AND(INDEX(IHZ_HAZ_IMOHAZARDC,83,1)&lt;&gt;"",INDEX(IHZ_HAZ_UNNUMBER,83,1)&lt;&gt;""),TRUE)</f>
        <v>1</v>
      </c>
      <c r="H1340" s="52" t="str">
        <f t="shared" si="43"/>
        <v>Row 83 - If ‘DG classification’ is ‘IMDG’ the ‘IMO Hazard Class’ and ‘UN Number’ is mandatory</v>
      </c>
      <c r="I1340" s="236" t="s">
        <v>1853</v>
      </c>
      <c r="J1340" s="52" t="b">
        <f>IF(OR(INDEX(OHZ_HAZ_DGCLASSIFI,83,1)="IMDG",),AND(INDEX(OHZ_HAZ_IMOHAZARDC,83,1)&lt;&gt;"",INDEX(OHZ_HAZ_UNNUMBER,83,1)&lt;&gt;""),TRUE)</f>
        <v>1</v>
      </c>
      <c r="K1340" s="52" t="str">
        <f t="shared" si="44"/>
        <v>Row 83 - If ‘DG classification’ is ‘IMDG’ the ‘IMO Hazard Class’ and ‘UN Number’ is mandatory</v>
      </c>
    </row>
    <row r="1341" spans="7:11">
      <c r="G1341" s="250" t="b">
        <f>IF(OR(INDEX(IHZ_HAZ_DGCLASSIFI,84,1)="IMDG",),AND(INDEX(IHZ_HAZ_IMOHAZARDC,84,1)&lt;&gt;"",INDEX(IHZ_HAZ_UNNUMBER,84,1)&lt;&gt;""),TRUE)</f>
        <v>1</v>
      </c>
      <c r="H1341" s="52" t="str">
        <f t="shared" si="43"/>
        <v>Row 84 - If ‘DG classification’ is ‘IMDG’ the ‘IMO Hazard Class’ and ‘UN Number’ is mandatory</v>
      </c>
      <c r="I1341" s="236" t="s">
        <v>1853</v>
      </c>
      <c r="J1341" s="52" t="b">
        <f>IF(OR(INDEX(OHZ_HAZ_DGCLASSIFI,84,1)="IMDG",),AND(INDEX(OHZ_HAZ_IMOHAZARDC,84,1)&lt;&gt;"",INDEX(OHZ_HAZ_UNNUMBER,84,1)&lt;&gt;""),TRUE)</f>
        <v>1</v>
      </c>
      <c r="K1341" s="52" t="str">
        <f t="shared" si="44"/>
        <v>Row 84 - If ‘DG classification’ is ‘IMDG’ the ‘IMO Hazard Class’ and ‘UN Number’ is mandatory</v>
      </c>
    </row>
    <row r="1342" spans="7:11">
      <c r="G1342" s="250" t="b">
        <f>IF(OR(INDEX(IHZ_HAZ_DGCLASSIFI,85,1)="IMDG",),AND(INDEX(IHZ_HAZ_IMOHAZARDC,85,1)&lt;&gt;"",INDEX(IHZ_HAZ_UNNUMBER,85,1)&lt;&gt;""),TRUE)</f>
        <v>1</v>
      </c>
      <c r="H1342" s="52" t="str">
        <f t="shared" si="43"/>
        <v>Row 85 - If ‘DG classification’ is ‘IMDG’ the ‘IMO Hazard Class’ and ‘UN Number’ is mandatory</v>
      </c>
      <c r="I1342" s="236" t="s">
        <v>1853</v>
      </c>
      <c r="J1342" s="52" t="b">
        <f>IF(OR(INDEX(OHZ_HAZ_DGCLASSIFI,85,1)="IMDG",),AND(INDEX(OHZ_HAZ_IMOHAZARDC,85,1)&lt;&gt;"",INDEX(OHZ_HAZ_UNNUMBER,85,1)&lt;&gt;""),TRUE)</f>
        <v>1</v>
      </c>
      <c r="K1342" s="52" t="str">
        <f t="shared" si="44"/>
        <v>Row 85 - If ‘DG classification’ is ‘IMDG’ the ‘IMO Hazard Class’ and ‘UN Number’ is mandatory</v>
      </c>
    </row>
    <row r="1343" spans="7:11">
      <c r="G1343" s="250" t="b">
        <f>IF(OR(INDEX(IHZ_HAZ_DGCLASSIFI,86,1)="IMDG",),AND(INDEX(IHZ_HAZ_IMOHAZARDC,86,1)&lt;&gt;"",INDEX(IHZ_HAZ_UNNUMBER,86,1)&lt;&gt;""),TRUE)</f>
        <v>1</v>
      </c>
      <c r="H1343" s="52" t="str">
        <f t="shared" si="43"/>
        <v>Row 86 - If ‘DG classification’ is ‘IMDG’ the ‘IMO Hazard Class’ and ‘UN Number’ is mandatory</v>
      </c>
      <c r="I1343" s="236" t="s">
        <v>1853</v>
      </c>
      <c r="J1343" s="52" t="b">
        <f>IF(OR(INDEX(OHZ_HAZ_DGCLASSIFI,86,1)="IMDG",),AND(INDEX(OHZ_HAZ_IMOHAZARDC,86,1)&lt;&gt;"",INDEX(OHZ_HAZ_UNNUMBER,86,1)&lt;&gt;""),TRUE)</f>
        <v>1</v>
      </c>
      <c r="K1343" s="52" t="str">
        <f t="shared" si="44"/>
        <v>Row 86 - If ‘DG classification’ is ‘IMDG’ the ‘IMO Hazard Class’ and ‘UN Number’ is mandatory</v>
      </c>
    </row>
    <row r="1344" spans="7:11">
      <c r="G1344" s="250" t="b">
        <f>IF(OR(INDEX(IHZ_HAZ_DGCLASSIFI,87,1)="IMDG",),AND(INDEX(IHZ_HAZ_IMOHAZARDC,87,1)&lt;&gt;"",INDEX(IHZ_HAZ_UNNUMBER,87,1)&lt;&gt;""),TRUE)</f>
        <v>1</v>
      </c>
      <c r="H1344" s="52" t="str">
        <f t="shared" si="43"/>
        <v>Row 87 - If ‘DG classification’ is ‘IMDG’ the ‘IMO Hazard Class’ and ‘UN Number’ is mandatory</v>
      </c>
      <c r="I1344" s="236" t="s">
        <v>1853</v>
      </c>
      <c r="J1344" s="52" t="b">
        <f>IF(OR(INDEX(OHZ_HAZ_DGCLASSIFI,87,1)="IMDG",),AND(INDEX(OHZ_HAZ_IMOHAZARDC,87,1)&lt;&gt;"",INDEX(OHZ_HAZ_UNNUMBER,87,1)&lt;&gt;""),TRUE)</f>
        <v>1</v>
      </c>
      <c r="K1344" s="52" t="str">
        <f t="shared" si="44"/>
        <v>Row 87 - If ‘DG classification’ is ‘IMDG’ the ‘IMO Hazard Class’ and ‘UN Number’ is mandatory</v>
      </c>
    </row>
    <row r="1345" spans="7:11">
      <c r="G1345" s="250" t="b">
        <f>IF(OR(INDEX(IHZ_HAZ_DGCLASSIFI,88,1)="IMDG",),AND(INDEX(IHZ_HAZ_IMOHAZARDC,88,1)&lt;&gt;"",INDEX(IHZ_HAZ_UNNUMBER,88,1)&lt;&gt;""),TRUE)</f>
        <v>1</v>
      </c>
      <c r="H1345" s="52" t="str">
        <f t="shared" si="43"/>
        <v>Row 88 - If ‘DG classification’ is ‘IMDG’ the ‘IMO Hazard Class’ and ‘UN Number’ is mandatory</v>
      </c>
      <c r="I1345" s="236" t="s">
        <v>1853</v>
      </c>
      <c r="J1345" s="52" t="b">
        <f>IF(OR(INDEX(OHZ_HAZ_DGCLASSIFI,88,1)="IMDG",),AND(INDEX(OHZ_HAZ_IMOHAZARDC,88,1)&lt;&gt;"",INDEX(OHZ_HAZ_UNNUMBER,88,1)&lt;&gt;""),TRUE)</f>
        <v>1</v>
      </c>
      <c r="K1345" s="52" t="str">
        <f t="shared" si="44"/>
        <v>Row 88 - If ‘DG classification’ is ‘IMDG’ the ‘IMO Hazard Class’ and ‘UN Number’ is mandatory</v>
      </c>
    </row>
    <row r="1346" spans="7:11">
      <c r="G1346" s="250" t="b">
        <f>IF(OR(INDEX(IHZ_HAZ_DGCLASSIFI,89,1)="IMDG",),AND(INDEX(IHZ_HAZ_IMOHAZARDC,89,1)&lt;&gt;"",INDEX(IHZ_HAZ_UNNUMBER,89,1)&lt;&gt;""),TRUE)</f>
        <v>1</v>
      </c>
      <c r="H1346" s="52" t="str">
        <f t="shared" si="43"/>
        <v>Row 89 - If ‘DG classification’ is ‘IMDG’ the ‘IMO Hazard Class’ and ‘UN Number’ is mandatory</v>
      </c>
      <c r="I1346" s="236" t="s">
        <v>1853</v>
      </c>
      <c r="J1346" s="52" t="b">
        <f>IF(OR(INDEX(OHZ_HAZ_DGCLASSIFI,89,1)="IMDG",),AND(INDEX(OHZ_HAZ_IMOHAZARDC,89,1)&lt;&gt;"",INDEX(OHZ_HAZ_UNNUMBER,89,1)&lt;&gt;""),TRUE)</f>
        <v>1</v>
      </c>
      <c r="K1346" s="52" t="str">
        <f t="shared" si="44"/>
        <v>Row 89 - If ‘DG classification’ is ‘IMDG’ the ‘IMO Hazard Class’ and ‘UN Number’ is mandatory</v>
      </c>
    </row>
    <row r="1347" spans="7:11">
      <c r="G1347" s="250" t="b">
        <f>IF(OR(INDEX(IHZ_HAZ_DGCLASSIFI,90,1)="IMDG",),AND(INDEX(IHZ_HAZ_IMOHAZARDC,90,1)&lt;&gt;"",INDEX(IHZ_HAZ_UNNUMBER,90,1)&lt;&gt;""),TRUE)</f>
        <v>1</v>
      </c>
      <c r="H1347" s="52" t="str">
        <f t="shared" si="43"/>
        <v>Row 90 - If ‘DG classification’ is ‘IMDG’ the ‘IMO Hazard Class’ and ‘UN Number’ is mandatory</v>
      </c>
      <c r="I1347" s="236" t="s">
        <v>1853</v>
      </c>
      <c r="J1347" s="52" t="b">
        <f>IF(OR(INDEX(OHZ_HAZ_DGCLASSIFI,90,1)="IMDG",),AND(INDEX(OHZ_HAZ_IMOHAZARDC,90,1)&lt;&gt;"",INDEX(OHZ_HAZ_UNNUMBER,90,1)&lt;&gt;""),TRUE)</f>
        <v>1</v>
      </c>
      <c r="K1347" s="52" t="str">
        <f t="shared" si="44"/>
        <v>Row 90 - If ‘DG classification’ is ‘IMDG’ the ‘IMO Hazard Class’ and ‘UN Number’ is mandatory</v>
      </c>
    </row>
    <row r="1348" spans="7:11">
      <c r="G1348" s="250" t="b">
        <f>IF(OR(INDEX(IHZ_HAZ_DGCLASSIFI,91,1)="IMDG",),AND(INDEX(IHZ_HAZ_IMOHAZARDC,91,1)&lt;&gt;"",INDEX(IHZ_HAZ_UNNUMBER,91,1)&lt;&gt;""),TRUE)</f>
        <v>1</v>
      </c>
      <c r="H1348" s="52" t="str">
        <f t="shared" si="43"/>
        <v>Row 91 - If ‘DG classification’ is ‘IMDG’ the ‘IMO Hazard Class’ and ‘UN Number’ is mandatory</v>
      </c>
      <c r="I1348" s="236" t="s">
        <v>1853</v>
      </c>
      <c r="J1348" s="52" t="b">
        <f>IF(OR(INDEX(OHZ_HAZ_DGCLASSIFI,91,1)="IMDG",),AND(INDEX(OHZ_HAZ_IMOHAZARDC,91,1)&lt;&gt;"",INDEX(OHZ_HAZ_UNNUMBER,91,1)&lt;&gt;""),TRUE)</f>
        <v>1</v>
      </c>
      <c r="K1348" s="52" t="str">
        <f t="shared" si="44"/>
        <v>Row 91 - If ‘DG classification’ is ‘IMDG’ the ‘IMO Hazard Class’ and ‘UN Number’ is mandatory</v>
      </c>
    </row>
    <row r="1349" spans="7:11">
      <c r="G1349" s="250" t="b">
        <f>IF(OR(INDEX(IHZ_HAZ_DGCLASSIFI,92,1)="IMDG",),AND(INDEX(IHZ_HAZ_IMOHAZARDC,92,1)&lt;&gt;"",INDEX(IHZ_HAZ_UNNUMBER,92,1)&lt;&gt;""),TRUE)</f>
        <v>1</v>
      </c>
      <c r="H1349" s="52" t="str">
        <f t="shared" si="43"/>
        <v>Row 92 - If ‘DG classification’ is ‘IMDG’ the ‘IMO Hazard Class’ and ‘UN Number’ is mandatory</v>
      </c>
      <c r="I1349" s="236" t="s">
        <v>1853</v>
      </c>
      <c r="J1349" s="52" t="b">
        <f>IF(OR(INDEX(OHZ_HAZ_DGCLASSIFI,92,1)="IMDG",),AND(INDEX(OHZ_HAZ_IMOHAZARDC,92,1)&lt;&gt;"",INDEX(OHZ_HAZ_UNNUMBER,92,1)&lt;&gt;""),TRUE)</f>
        <v>1</v>
      </c>
      <c r="K1349" s="52" t="str">
        <f t="shared" si="44"/>
        <v>Row 92 - If ‘DG classification’ is ‘IMDG’ the ‘IMO Hazard Class’ and ‘UN Number’ is mandatory</v>
      </c>
    </row>
    <row r="1350" spans="7:11">
      <c r="G1350" s="250" t="b">
        <f>IF(OR(INDEX(IHZ_HAZ_DGCLASSIFI,93,1)="IMDG",),AND(INDEX(IHZ_HAZ_IMOHAZARDC,93,1)&lt;&gt;"",INDEX(IHZ_HAZ_UNNUMBER,93,1)&lt;&gt;""),TRUE)</f>
        <v>1</v>
      </c>
      <c r="H1350" s="52" t="str">
        <f t="shared" si="43"/>
        <v>Row 93 - If ‘DG classification’ is ‘IMDG’ the ‘IMO Hazard Class’ and ‘UN Number’ is mandatory</v>
      </c>
      <c r="I1350" s="236" t="s">
        <v>1853</v>
      </c>
      <c r="J1350" s="52" t="b">
        <f>IF(OR(INDEX(OHZ_HAZ_DGCLASSIFI,93,1)="IMDG",),AND(INDEX(OHZ_HAZ_IMOHAZARDC,93,1)&lt;&gt;"",INDEX(OHZ_HAZ_UNNUMBER,93,1)&lt;&gt;""),TRUE)</f>
        <v>1</v>
      </c>
      <c r="K1350" s="52" t="str">
        <f t="shared" si="44"/>
        <v>Row 93 - If ‘DG classification’ is ‘IMDG’ the ‘IMO Hazard Class’ and ‘UN Number’ is mandatory</v>
      </c>
    </row>
    <row r="1351" spans="7:11">
      <c r="G1351" s="250" t="b">
        <f>IF(OR(INDEX(IHZ_HAZ_DGCLASSIFI,94,1)="IMDG",),AND(INDEX(IHZ_HAZ_IMOHAZARDC,94,1)&lt;&gt;"",INDEX(IHZ_HAZ_UNNUMBER,94,1)&lt;&gt;""),TRUE)</f>
        <v>1</v>
      </c>
      <c r="H1351" s="52" t="str">
        <f t="shared" si="43"/>
        <v>Row 94 - If ‘DG classification’ is ‘IMDG’ the ‘IMO Hazard Class’ and ‘UN Number’ is mandatory</v>
      </c>
      <c r="I1351" s="236" t="s">
        <v>1853</v>
      </c>
      <c r="J1351" s="52" t="b">
        <f>IF(OR(INDEX(OHZ_HAZ_DGCLASSIFI,94,1)="IMDG",),AND(INDEX(OHZ_HAZ_IMOHAZARDC,94,1)&lt;&gt;"",INDEX(OHZ_HAZ_UNNUMBER,94,1)&lt;&gt;""),TRUE)</f>
        <v>1</v>
      </c>
      <c r="K1351" s="52" t="str">
        <f t="shared" si="44"/>
        <v>Row 94 - If ‘DG classification’ is ‘IMDG’ the ‘IMO Hazard Class’ and ‘UN Number’ is mandatory</v>
      </c>
    </row>
    <row r="1352" spans="7:11">
      <c r="G1352" s="250" t="b">
        <f>IF(OR(INDEX(IHZ_HAZ_DGCLASSIFI,95,1)="IMDG",),AND(INDEX(IHZ_HAZ_IMOHAZARDC,95,1)&lt;&gt;"",INDEX(IHZ_HAZ_UNNUMBER,95,1)&lt;&gt;""),TRUE)</f>
        <v>1</v>
      </c>
      <c r="H1352" s="52" t="str">
        <f t="shared" si="43"/>
        <v>Row 95 - If ‘DG classification’ is ‘IMDG’ the ‘IMO Hazard Class’ and ‘UN Number’ is mandatory</v>
      </c>
      <c r="I1352" s="236" t="s">
        <v>1853</v>
      </c>
      <c r="J1352" s="52" t="b">
        <f>IF(OR(INDEX(OHZ_HAZ_DGCLASSIFI,95,1)="IMDG",),AND(INDEX(OHZ_HAZ_IMOHAZARDC,95,1)&lt;&gt;"",INDEX(OHZ_HAZ_UNNUMBER,95,1)&lt;&gt;""),TRUE)</f>
        <v>1</v>
      </c>
      <c r="K1352" s="52" t="str">
        <f t="shared" si="44"/>
        <v>Row 95 - If ‘DG classification’ is ‘IMDG’ the ‘IMO Hazard Class’ and ‘UN Number’ is mandatory</v>
      </c>
    </row>
    <row r="1353" spans="7:11">
      <c r="G1353" s="250" t="b">
        <f>IF(OR(INDEX(IHZ_HAZ_DGCLASSIFI,96,1)="IMDG",),AND(INDEX(IHZ_HAZ_IMOHAZARDC,96,1)&lt;&gt;"",INDEX(IHZ_HAZ_UNNUMBER,96,1)&lt;&gt;""),TRUE)</f>
        <v>1</v>
      </c>
      <c r="H1353" s="52" t="str">
        <f t="shared" si="43"/>
        <v>Row 96 - If ‘DG classification’ is ‘IMDG’ the ‘IMO Hazard Class’ and ‘UN Number’ is mandatory</v>
      </c>
      <c r="I1353" s="236" t="s">
        <v>1853</v>
      </c>
      <c r="J1353" s="52" t="b">
        <f>IF(OR(INDEX(OHZ_HAZ_DGCLASSIFI,96,1)="IMDG",),AND(INDEX(OHZ_HAZ_IMOHAZARDC,96,1)&lt;&gt;"",INDEX(OHZ_HAZ_UNNUMBER,96,1)&lt;&gt;""),TRUE)</f>
        <v>1</v>
      </c>
      <c r="K1353" s="52" t="str">
        <f t="shared" si="44"/>
        <v>Row 96 - If ‘DG classification’ is ‘IMDG’ the ‘IMO Hazard Class’ and ‘UN Number’ is mandatory</v>
      </c>
    </row>
    <row r="1354" spans="7:11">
      <c r="G1354" s="250" t="b">
        <f>IF(OR(INDEX(IHZ_HAZ_DGCLASSIFI,97,1)="IMDG",),AND(INDEX(IHZ_HAZ_IMOHAZARDC,97,1)&lt;&gt;"",INDEX(IHZ_HAZ_UNNUMBER,97,1)&lt;&gt;""),TRUE)</f>
        <v>1</v>
      </c>
      <c r="H1354" s="52" t="str">
        <f t="shared" si="43"/>
        <v>Row 97 - If ‘DG classification’ is ‘IMDG’ the ‘IMO Hazard Class’ and ‘UN Number’ is mandatory</v>
      </c>
      <c r="I1354" s="236" t="s">
        <v>1853</v>
      </c>
      <c r="J1354" s="52" t="b">
        <f>IF(OR(INDEX(OHZ_HAZ_DGCLASSIFI,97,1)="IMDG",),AND(INDEX(OHZ_HAZ_IMOHAZARDC,97,1)&lt;&gt;"",INDEX(OHZ_HAZ_UNNUMBER,97,1)&lt;&gt;""),TRUE)</f>
        <v>1</v>
      </c>
      <c r="K1354" s="52" t="str">
        <f t="shared" si="44"/>
        <v>Row 97 - If ‘DG classification’ is ‘IMDG’ the ‘IMO Hazard Class’ and ‘UN Number’ is mandatory</v>
      </c>
    </row>
    <row r="1355" spans="7:11">
      <c r="G1355" s="250" t="b">
        <f>IF(OR(INDEX(IHZ_HAZ_DGCLASSIFI,98,1)="IMDG",),AND(INDEX(IHZ_HAZ_IMOHAZARDC,98,1)&lt;&gt;"",INDEX(IHZ_HAZ_UNNUMBER,98,1)&lt;&gt;""),TRUE)</f>
        <v>1</v>
      </c>
      <c r="H1355" s="52" t="str">
        <f t="shared" si="43"/>
        <v>Row 98 - If ‘DG classification’ is ‘IMDG’ the ‘IMO Hazard Class’ and ‘UN Number’ is mandatory</v>
      </c>
      <c r="I1355" s="236" t="s">
        <v>1853</v>
      </c>
      <c r="J1355" s="52" t="b">
        <f>IF(OR(INDEX(OHZ_HAZ_DGCLASSIFI,98,1)="IMDG",),AND(INDEX(OHZ_HAZ_IMOHAZARDC,98,1)&lt;&gt;"",INDEX(OHZ_HAZ_UNNUMBER,98,1)&lt;&gt;""),TRUE)</f>
        <v>1</v>
      </c>
      <c r="K1355" s="52" t="str">
        <f t="shared" si="44"/>
        <v>Row 98 - If ‘DG classification’ is ‘IMDG’ the ‘IMO Hazard Class’ and ‘UN Number’ is mandatory</v>
      </c>
    </row>
    <row r="1356" spans="7:11">
      <c r="G1356" s="250" t="b">
        <f>IF(OR(INDEX(IHZ_HAZ_DGCLASSIFI,99,1)="IMDG",),AND(INDEX(IHZ_HAZ_IMOHAZARDC,99,1)&lt;&gt;"",INDEX(IHZ_HAZ_UNNUMBER,99,1)&lt;&gt;""),TRUE)</f>
        <v>1</v>
      </c>
      <c r="H1356" s="52" t="str">
        <f t="shared" si="43"/>
        <v>Row 99 - If ‘DG classification’ is ‘IMDG’ the ‘IMO Hazard Class’ and ‘UN Number’ is mandatory</v>
      </c>
      <c r="I1356" s="236" t="s">
        <v>1853</v>
      </c>
      <c r="J1356" s="52" t="b">
        <f>IF(OR(INDEX(OHZ_HAZ_DGCLASSIFI,99,1)="IMDG",),AND(INDEX(OHZ_HAZ_IMOHAZARDC,99,1)&lt;&gt;"",INDEX(OHZ_HAZ_UNNUMBER,99,1)&lt;&gt;""),TRUE)</f>
        <v>1</v>
      </c>
      <c r="K1356" s="52" t="str">
        <f t="shared" si="44"/>
        <v>Row 99 - If ‘DG classification’ is ‘IMDG’ the ‘IMO Hazard Class’ and ‘UN Number’ is mandatory</v>
      </c>
    </row>
    <row r="1357" spans="7:11">
      <c r="G1357" s="250" t="b">
        <f>IF(OR(INDEX(IHZ_HAZ_DGCLASSIFI,100,1)="IMDG",),AND(INDEX(IHZ_HAZ_IMOHAZARDC,100,1)&lt;&gt;"",INDEX(IHZ_HAZ_UNNUMBER,100,1)&lt;&gt;""),TRUE)</f>
        <v>1</v>
      </c>
      <c r="H1357" s="52" t="str">
        <f t="shared" si="43"/>
        <v>Row 100 - If ‘DG classification’ is ‘IMDG’ the ‘IMO Hazard Class’ and ‘UN Number’ is mandatory</v>
      </c>
      <c r="I1357" s="236" t="s">
        <v>1853</v>
      </c>
      <c r="J1357" s="52" t="b">
        <f>IF(OR(INDEX(OHZ_HAZ_DGCLASSIFI,100,1)="IMDG",),AND(INDEX(OHZ_HAZ_IMOHAZARDC,100,1)&lt;&gt;"",INDEX(OHZ_HAZ_UNNUMBER,100,1)&lt;&gt;""),TRUE)</f>
        <v>1</v>
      </c>
      <c r="K1357" s="52" t="str">
        <f t="shared" si="44"/>
        <v>Row 100 - If ‘DG classification’ is ‘IMDG’ the ‘IMO Hazard Class’ and ‘UN Number’ is mandatory</v>
      </c>
    </row>
    <row r="1358" spans="7:11">
      <c r="G1358" s="250" t="b">
        <f>IF(OR(INDEX(IHZ_HAZ_DGCLASSIFI,101,1)="IMDG",),AND(INDEX(IHZ_HAZ_IMOHAZARDC,101,1)&lt;&gt;"",INDEX(IHZ_HAZ_UNNUMBER,101,1)&lt;&gt;""),TRUE)</f>
        <v>1</v>
      </c>
      <c r="H1358" s="52" t="str">
        <f t="shared" si="43"/>
        <v>Row 101 - If ‘DG classification’ is ‘IMDG’ the ‘IMO Hazard Class’ and ‘UN Number’ is mandatory</v>
      </c>
      <c r="I1358" s="236" t="s">
        <v>1853</v>
      </c>
      <c r="J1358" s="52" t="b">
        <f>IF(OR(INDEX(OHZ_HAZ_DGCLASSIFI,101,1)="IMDG",),AND(INDEX(OHZ_HAZ_IMOHAZARDC,101,1)&lt;&gt;"",INDEX(OHZ_HAZ_UNNUMBER,101,1)&lt;&gt;""),TRUE)</f>
        <v>1</v>
      </c>
      <c r="K1358" s="52" t="str">
        <f t="shared" si="44"/>
        <v>Row 101 - If ‘DG classification’ is ‘IMDG’ the ‘IMO Hazard Class’ and ‘UN Number’ is mandatory</v>
      </c>
    </row>
    <row r="1359" spans="7:11">
      <c r="G1359" s="250" t="b">
        <f>IF(OR(INDEX(IHZ_HAZ_DGCLASSIFI,102,1)="IMDG",),AND(INDEX(IHZ_HAZ_IMOHAZARDC,102,1)&lt;&gt;"",INDEX(IHZ_HAZ_UNNUMBER,102,1)&lt;&gt;""),TRUE)</f>
        <v>1</v>
      </c>
      <c r="H1359" s="52" t="str">
        <f t="shared" si="43"/>
        <v>Row 102 - If ‘DG classification’ is ‘IMDG’ the ‘IMO Hazard Class’ and ‘UN Number’ is mandatory</v>
      </c>
      <c r="I1359" s="236" t="s">
        <v>1853</v>
      </c>
      <c r="J1359" s="52" t="b">
        <f>IF(OR(INDEX(OHZ_HAZ_DGCLASSIFI,102,1)="IMDG",),AND(INDEX(OHZ_HAZ_IMOHAZARDC,102,1)&lt;&gt;"",INDEX(OHZ_HAZ_UNNUMBER,102,1)&lt;&gt;""),TRUE)</f>
        <v>1</v>
      </c>
      <c r="K1359" s="52" t="str">
        <f t="shared" si="44"/>
        <v>Row 102 - If ‘DG classification’ is ‘IMDG’ the ‘IMO Hazard Class’ and ‘UN Number’ is mandatory</v>
      </c>
    </row>
    <row r="1360" spans="7:11">
      <c r="G1360" s="250" t="b">
        <f>IF(OR(INDEX(IHZ_HAZ_DGCLASSIFI,103,1)="IMDG",),AND(INDEX(IHZ_HAZ_IMOHAZARDC,103,1)&lt;&gt;"",INDEX(IHZ_HAZ_UNNUMBER,103,1)&lt;&gt;""),TRUE)</f>
        <v>1</v>
      </c>
      <c r="H1360" s="52" t="str">
        <f t="shared" si="43"/>
        <v>Row 103 - If ‘DG classification’ is ‘IMDG’ the ‘IMO Hazard Class’ and ‘UN Number’ is mandatory</v>
      </c>
      <c r="I1360" s="236" t="s">
        <v>1853</v>
      </c>
      <c r="J1360" s="52" t="b">
        <f>IF(OR(INDEX(OHZ_HAZ_DGCLASSIFI,103,1)="IMDG",),AND(INDEX(OHZ_HAZ_IMOHAZARDC,103,1)&lt;&gt;"",INDEX(OHZ_HAZ_UNNUMBER,103,1)&lt;&gt;""),TRUE)</f>
        <v>1</v>
      </c>
      <c r="K1360" s="52" t="str">
        <f t="shared" si="44"/>
        <v>Row 103 - If ‘DG classification’ is ‘IMDG’ the ‘IMO Hazard Class’ and ‘UN Number’ is mandatory</v>
      </c>
    </row>
    <row r="1361" spans="7:11">
      <c r="G1361" s="250" t="b">
        <f>IF(OR(INDEX(IHZ_HAZ_DGCLASSIFI,104,1)="IMDG",),AND(INDEX(IHZ_HAZ_IMOHAZARDC,104,1)&lt;&gt;"",INDEX(IHZ_HAZ_UNNUMBER,104,1)&lt;&gt;""),TRUE)</f>
        <v>1</v>
      </c>
      <c r="H1361" s="52" t="str">
        <f t="shared" si="43"/>
        <v>Row 104 - If ‘DG classification’ is ‘IMDG’ the ‘IMO Hazard Class’ and ‘UN Number’ is mandatory</v>
      </c>
      <c r="I1361" s="236" t="s">
        <v>1853</v>
      </c>
      <c r="J1361" s="52" t="b">
        <f>IF(OR(INDEX(OHZ_HAZ_DGCLASSIFI,104,1)="IMDG",),AND(INDEX(OHZ_HAZ_IMOHAZARDC,104,1)&lt;&gt;"",INDEX(OHZ_HAZ_UNNUMBER,104,1)&lt;&gt;""),TRUE)</f>
        <v>1</v>
      </c>
      <c r="K1361" s="52" t="str">
        <f t="shared" si="44"/>
        <v>Row 104 - If ‘DG classification’ is ‘IMDG’ the ‘IMO Hazard Class’ and ‘UN Number’ is mandatory</v>
      </c>
    </row>
    <row r="1362" spans="7:11">
      <c r="G1362" s="250" t="b">
        <f>IF(OR(INDEX(IHZ_HAZ_DGCLASSIFI,105,1)="IMDG",),AND(INDEX(IHZ_HAZ_IMOHAZARDC,105,1)&lt;&gt;"",INDEX(IHZ_HAZ_UNNUMBER,105,1)&lt;&gt;""),TRUE)</f>
        <v>1</v>
      </c>
      <c r="H1362" s="52" t="str">
        <f t="shared" si="43"/>
        <v>Row 105 - If ‘DG classification’ is ‘IMDG’ the ‘IMO Hazard Class’ and ‘UN Number’ is mandatory</v>
      </c>
      <c r="I1362" s="236" t="s">
        <v>1853</v>
      </c>
      <c r="J1362" s="52" t="b">
        <f>IF(OR(INDEX(OHZ_HAZ_DGCLASSIFI,105,1)="IMDG",),AND(INDEX(OHZ_HAZ_IMOHAZARDC,105,1)&lt;&gt;"",INDEX(OHZ_HAZ_UNNUMBER,105,1)&lt;&gt;""),TRUE)</f>
        <v>1</v>
      </c>
      <c r="K1362" s="52" t="str">
        <f t="shared" si="44"/>
        <v>Row 105 - If ‘DG classification’ is ‘IMDG’ the ‘IMO Hazard Class’ and ‘UN Number’ is mandatory</v>
      </c>
    </row>
    <row r="1363" spans="7:11">
      <c r="G1363" s="250" t="b">
        <f>IF(OR(INDEX(IHZ_HAZ_DGCLASSIFI,106,1)="IMDG",),AND(INDEX(IHZ_HAZ_IMOHAZARDC,106,1)&lt;&gt;"",INDEX(IHZ_HAZ_UNNUMBER,106,1)&lt;&gt;""),TRUE)</f>
        <v>1</v>
      </c>
      <c r="H1363" s="52" t="str">
        <f t="shared" si="43"/>
        <v>Row 106 - If ‘DG classification’ is ‘IMDG’ the ‘IMO Hazard Class’ and ‘UN Number’ is mandatory</v>
      </c>
      <c r="I1363" s="236" t="s">
        <v>1853</v>
      </c>
      <c r="J1363" s="52" t="b">
        <f>IF(OR(INDEX(OHZ_HAZ_DGCLASSIFI,106,1)="IMDG",),AND(INDEX(OHZ_HAZ_IMOHAZARDC,106,1)&lt;&gt;"",INDEX(OHZ_HAZ_UNNUMBER,106,1)&lt;&gt;""),TRUE)</f>
        <v>1</v>
      </c>
      <c r="K1363" s="52" t="str">
        <f t="shared" si="44"/>
        <v>Row 106 - If ‘DG classification’ is ‘IMDG’ the ‘IMO Hazard Class’ and ‘UN Number’ is mandatory</v>
      </c>
    </row>
    <row r="1364" spans="7:11">
      <c r="G1364" s="250" t="b">
        <f>IF(OR(INDEX(IHZ_HAZ_DGCLASSIFI,107,1)="IMDG",),AND(INDEX(IHZ_HAZ_IMOHAZARDC,107,1)&lt;&gt;"",INDEX(IHZ_HAZ_UNNUMBER,107,1)&lt;&gt;""),TRUE)</f>
        <v>1</v>
      </c>
      <c r="H1364" s="52" t="str">
        <f t="shared" si="43"/>
        <v>Row 107 - If ‘DG classification’ is ‘IMDG’ the ‘IMO Hazard Class’ and ‘UN Number’ is mandatory</v>
      </c>
      <c r="I1364" s="236" t="s">
        <v>1853</v>
      </c>
      <c r="J1364" s="52" t="b">
        <f>IF(OR(INDEX(OHZ_HAZ_DGCLASSIFI,107,1)="IMDG",),AND(INDEX(OHZ_HAZ_IMOHAZARDC,107,1)&lt;&gt;"",INDEX(OHZ_HAZ_UNNUMBER,107,1)&lt;&gt;""),TRUE)</f>
        <v>1</v>
      </c>
      <c r="K1364" s="52" t="str">
        <f t="shared" si="44"/>
        <v>Row 107 - If ‘DG classification’ is ‘IMDG’ the ‘IMO Hazard Class’ and ‘UN Number’ is mandatory</v>
      </c>
    </row>
    <row r="1365" spans="7:11">
      <c r="G1365" s="250" t="b">
        <f>IF(OR(INDEX(IHZ_HAZ_DGCLASSIFI,108,1)="IMDG",),AND(INDEX(IHZ_HAZ_IMOHAZARDC,108,1)&lt;&gt;"",INDEX(IHZ_HAZ_UNNUMBER,108,1)&lt;&gt;""),TRUE)</f>
        <v>1</v>
      </c>
      <c r="H1365" s="52" t="str">
        <f t="shared" si="43"/>
        <v>Row 108 - If ‘DG classification’ is ‘IMDG’ the ‘IMO Hazard Class’ and ‘UN Number’ is mandatory</v>
      </c>
      <c r="I1365" s="236" t="s">
        <v>1853</v>
      </c>
      <c r="J1365" s="52" t="b">
        <f>IF(OR(INDEX(OHZ_HAZ_DGCLASSIFI,108,1)="IMDG",),AND(INDEX(OHZ_HAZ_IMOHAZARDC,108,1)&lt;&gt;"",INDEX(OHZ_HAZ_UNNUMBER,108,1)&lt;&gt;""),TRUE)</f>
        <v>1</v>
      </c>
      <c r="K1365" s="52" t="str">
        <f t="shared" si="44"/>
        <v>Row 108 - If ‘DG classification’ is ‘IMDG’ the ‘IMO Hazard Class’ and ‘UN Number’ is mandatory</v>
      </c>
    </row>
    <row r="1366" spans="7:11">
      <c r="G1366" s="250" t="b">
        <f>IF(OR(INDEX(IHZ_HAZ_DGCLASSIFI,109,1)="IMDG",),AND(INDEX(IHZ_HAZ_IMOHAZARDC,109,1)&lt;&gt;"",INDEX(IHZ_HAZ_UNNUMBER,109,1)&lt;&gt;""),TRUE)</f>
        <v>1</v>
      </c>
      <c r="H1366" s="52" t="str">
        <f t="shared" si="43"/>
        <v>Row 109 - If ‘DG classification’ is ‘IMDG’ the ‘IMO Hazard Class’ and ‘UN Number’ is mandatory</v>
      </c>
      <c r="I1366" s="236" t="s">
        <v>1853</v>
      </c>
      <c r="J1366" s="52" t="b">
        <f>IF(OR(INDEX(OHZ_HAZ_DGCLASSIFI,109,1)="IMDG",),AND(INDEX(OHZ_HAZ_IMOHAZARDC,109,1)&lt;&gt;"",INDEX(OHZ_HAZ_UNNUMBER,109,1)&lt;&gt;""),TRUE)</f>
        <v>1</v>
      </c>
      <c r="K1366" s="52" t="str">
        <f t="shared" si="44"/>
        <v>Row 109 - If ‘DG classification’ is ‘IMDG’ the ‘IMO Hazard Class’ and ‘UN Number’ is mandatory</v>
      </c>
    </row>
    <row r="1367" spans="7:11">
      <c r="G1367" s="250" t="b">
        <f>IF(OR(INDEX(IHZ_HAZ_DGCLASSIFI,110,1)="IMDG",),AND(INDEX(IHZ_HAZ_IMOHAZARDC,110,1)&lt;&gt;"",INDEX(IHZ_HAZ_UNNUMBER,110,1)&lt;&gt;""),TRUE)</f>
        <v>1</v>
      </c>
      <c r="H1367" s="52" t="str">
        <f t="shared" si="43"/>
        <v>Row 110 - If ‘DG classification’ is ‘IMDG’ the ‘IMO Hazard Class’ and ‘UN Number’ is mandatory</v>
      </c>
      <c r="I1367" s="236" t="s">
        <v>1853</v>
      </c>
      <c r="J1367" s="52" t="b">
        <f>IF(OR(INDEX(OHZ_HAZ_DGCLASSIFI,110,1)="IMDG",),AND(INDEX(OHZ_HAZ_IMOHAZARDC,110,1)&lt;&gt;"",INDEX(OHZ_HAZ_UNNUMBER,110,1)&lt;&gt;""),TRUE)</f>
        <v>1</v>
      </c>
      <c r="K1367" s="52" t="str">
        <f t="shared" si="44"/>
        <v>Row 110 - If ‘DG classification’ is ‘IMDG’ the ‘IMO Hazard Class’ and ‘UN Number’ is mandatory</v>
      </c>
    </row>
    <row r="1368" spans="7:11">
      <c r="G1368" s="250" t="b">
        <f>IF(OR(INDEX(IHZ_HAZ_DGCLASSIFI,111,1)="IMDG",),AND(INDEX(IHZ_HAZ_IMOHAZARDC,111,1)&lt;&gt;"",INDEX(IHZ_HAZ_UNNUMBER,111,1)&lt;&gt;""),TRUE)</f>
        <v>1</v>
      </c>
      <c r="H1368" s="52" t="str">
        <f t="shared" si="43"/>
        <v>Row 111 - If ‘DG classification’ is ‘IMDG’ the ‘IMO Hazard Class’ and ‘UN Number’ is mandatory</v>
      </c>
      <c r="I1368" s="236" t="s">
        <v>1853</v>
      </c>
      <c r="J1368" s="52" t="b">
        <f>IF(OR(INDEX(OHZ_HAZ_DGCLASSIFI,111,1)="IMDG",),AND(INDEX(OHZ_HAZ_IMOHAZARDC,111,1)&lt;&gt;"",INDEX(OHZ_HAZ_UNNUMBER,111,1)&lt;&gt;""),TRUE)</f>
        <v>1</v>
      </c>
      <c r="K1368" s="52" t="str">
        <f t="shared" si="44"/>
        <v>Row 111 - If ‘DG classification’ is ‘IMDG’ the ‘IMO Hazard Class’ and ‘UN Number’ is mandatory</v>
      </c>
    </row>
    <row r="1369" spans="7:11">
      <c r="G1369" s="250" t="b">
        <f>IF(OR(INDEX(IHZ_HAZ_DGCLASSIFI,112,1)="IMDG",),AND(INDEX(IHZ_HAZ_IMOHAZARDC,112,1)&lt;&gt;"",INDEX(IHZ_HAZ_UNNUMBER,112,1)&lt;&gt;""),TRUE)</f>
        <v>1</v>
      </c>
      <c r="H1369" s="52" t="str">
        <f t="shared" si="43"/>
        <v>Row 112 - If ‘DG classification’ is ‘IMDG’ the ‘IMO Hazard Class’ and ‘UN Number’ is mandatory</v>
      </c>
      <c r="I1369" s="236" t="s">
        <v>1853</v>
      </c>
      <c r="J1369" s="52" t="b">
        <f>IF(OR(INDEX(OHZ_HAZ_DGCLASSIFI,112,1)="IMDG",),AND(INDEX(OHZ_HAZ_IMOHAZARDC,112,1)&lt;&gt;"",INDEX(OHZ_HAZ_UNNUMBER,112,1)&lt;&gt;""),TRUE)</f>
        <v>1</v>
      </c>
      <c r="K1369" s="52" t="str">
        <f t="shared" si="44"/>
        <v>Row 112 - If ‘DG classification’ is ‘IMDG’ the ‘IMO Hazard Class’ and ‘UN Number’ is mandatory</v>
      </c>
    </row>
    <row r="1370" spans="7:11">
      <c r="G1370" s="250" t="b">
        <f>IF(OR(INDEX(IHZ_HAZ_DGCLASSIFI,113,1)="IMDG",),AND(INDEX(IHZ_HAZ_IMOHAZARDC,113,1)&lt;&gt;"",INDEX(IHZ_HAZ_UNNUMBER,113,1)&lt;&gt;""),TRUE)</f>
        <v>1</v>
      </c>
      <c r="H1370" s="52" t="str">
        <f t="shared" si="43"/>
        <v>Row 113 - If ‘DG classification’ is ‘IMDG’ the ‘IMO Hazard Class’ and ‘UN Number’ is mandatory</v>
      </c>
      <c r="I1370" s="236" t="s">
        <v>1853</v>
      </c>
      <c r="J1370" s="52" t="b">
        <f>IF(OR(INDEX(OHZ_HAZ_DGCLASSIFI,113,1)="IMDG",),AND(INDEX(OHZ_HAZ_IMOHAZARDC,113,1)&lt;&gt;"",INDEX(OHZ_HAZ_UNNUMBER,113,1)&lt;&gt;""),TRUE)</f>
        <v>1</v>
      </c>
      <c r="K1370" s="52" t="str">
        <f t="shared" si="44"/>
        <v>Row 113 - If ‘DG classification’ is ‘IMDG’ the ‘IMO Hazard Class’ and ‘UN Number’ is mandatory</v>
      </c>
    </row>
    <row r="1371" spans="7:11">
      <c r="G1371" s="250" t="b">
        <f>IF(OR(INDEX(IHZ_HAZ_DGCLASSIFI,114,1)="IMDG",),AND(INDEX(IHZ_HAZ_IMOHAZARDC,114,1)&lt;&gt;"",INDEX(IHZ_HAZ_UNNUMBER,114,1)&lt;&gt;""),TRUE)</f>
        <v>1</v>
      </c>
      <c r="H1371" s="52" t="str">
        <f t="shared" si="43"/>
        <v>Row 114 - If ‘DG classification’ is ‘IMDG’ the ‘IMO Hazard Class’ and ‘UN Number’ is mandatory</v>
      </c>
      <c r="I1371" s="236" t="s">
        <v>1853</v>
      </c>
      <c r="J1371" s="52" t="b">
        <f>IF(OR(INDEX(OHZ_HAZ_DGCLASSIFI,114,1)="IMDG",),AND(INDEX(OHZ_HAZ_IMOHAZARDC,114,1)&lt;&gt;"",INDEX(OHZ_HAZ_UNNUMBER,114,1)&lt;&gt;""),TRUE)</f>
        <v>1</v>
      </c>
      <c r="K1371" s="52" t="str">
        <f t="shared" si="44"/>
        <v>Row 114 - If ‘DG classification’ is ‘IMDG’ the ‘IMO Hazard Class’ and ‘UN Number’ is mandatory</v>
      </c>
    </row>
    <row r="1372" spans="7:11">
      <c r="G1372" s="250" t="b">
        <f>IF(OR(INDEX(IHZ_HAZ_DGCLASSIFI,115,1)="IMDG",),AND(INDEX(IHZ_HAZ_IMOHAZARDC,115,1)&lt;&gt;"",INDEX(IHZ_HAZ_UNNUMBER,115,1)&lt;&gt;""),TRUE)</f>
        <v>1</v>
      </c>
      <c r="H1372" s="52" t="str">
        <f t="shared" si="43"/>
        <v>Row 115 - If ‘DG classification’ is ‘IMDG’ the ‘IMO Hazard Class’ and ‘UN Number’ is mandatory</v>
      </c>
      <c r="I1372" s="236" t="s">
        <v>1853</v>
      </c>
      <c r="J1372" s="52" t="b">
        <f>IF(OR(INDEX(OHZ_HAZ_DGCLASSIFI,115,1)="IMDG",),AND(INDEX(OHZ_HAZ_IMOHAZARDC,115,1)&lt;&gt;"",INDEX(OHZ_HAZ_UNNUMBER,115,1)&lt;&gt;""),TRUE)</f>
        <v>1</v>
      </c>
      <c r="K1372" s="52" t="str">
        <f t="shared" si="44"/>
        <v>Row 115 - If ‘DG classification’ is ‘IMDG’ the ‘IMO Hazard Class’ and ‘UN Number’ is mandatory</v>
      </c>
    </row>
    <row r="1373" spans="7:11">
      <c r="G1373" s="250" t="b">
        <f>IF(OR(INDEX(IHZ_HAZ_DGCLASSIFI,116,1)="IMDG",),AND(INDEX(IHZ_HAZ_IMOHAZARDC,116,1)&lt;&gt;"",INDEX(IHZ_HAZ_UNNUMBER,116,1)&lt;&gt;""),TRUE)</f>
        <v>1</v>
      </c>
      <c r="H1373" s="52" t="str">
        <f t="shared" si="43"/>
        <v>Row 116 - If ‘DG classification’ is ‘IMDG’ the ‘IMO Hazard Class’ and ‘UN Number’ is mandatory</v>
      </c>
      <c r="I1373" s="236" t="s">
        <v>1853</v>
      </c>
      <c r="J1373" s="52" t="b">
        <f>IF(OR(INDEX(OHZ_HAZ_DGCLASSIFI,116,1)="IMDG",),AND(INDEX(OHZ_HAZ_IMOHAZARDC,116,1)&lt;&gt;"",INDEX(OHZ_HAZ_UNNUMBER,116,1)&lt;&gt;""),TRUE)</f>
        <v>1</v>
      </c>
      <c r="K1373" s="52" t="str">
        <f t="shared" si="44"/>
        <v>Row 116 - If ‘DG classification’ is ‘IMDG’ the ‘IMO Hazard Class’ and ‘UN Number’ is mandatory</v>
      </c>
    </row>
    <row r="1374" spans="7:11">
      <c r="G1374" s="250" t="b">
        <f>IF(OR(INDEX(IHZ_HAZ_DGCLASSIFI,117,1)="IMDG",),AND(INDEX(IHZ_HAZ_IMOHAZARDC,117,1)&lt;&gt;"",INDEX(IHZ_HAZ_UNNUMBER,117,1)&lt;&gt;""),TRUE)</f>
        <v>1</v>
      </c>
      <c r="H1374" s="52" t="str">
        <f t="shared" si="43"/>
        <v>Row 117 - If ‘DG classification’ is ‘IMDG’ the ‘IMO Hazard Class’ and ‘UN Number’ is mandatory</v>
      </c>
      <c r="I1374" s="236" t="s">
        <v>1853</v>
      </c>
      <c r="J1374" s="52" t="b">
        <f>IF(OR(INDEX(OHZ_HAZ_DGCLASSIFI,117,1)="IMDG",),AND(INDEX(OHZ_HAZ_IMOHAZARDC,117,1)&lt;&gt;"",INDEX(OHZ_HAZ_UNNUMBER,117,1)&lt;&gt;""),TRUE)</f>
        <v>1</v>
      </c>
      <c r="K1374" s="52" t="str">
        <f t="shared" si="44"/>
        <v>Row 117 - If ‘DG classification’ is ‘IMDG’ the ‘IMO Hazard Class’ and ‘UN Number’ is mandatory</v>
      </c>
    </row>
    <row r="1375" spans="7:11">
      <c r="G1375" s="250" t="b">
        <f>IF(OR(INDEX(IHZ_HAZ_DGCLASSIFI,118,1)="IMDG",),AND(INDEX(IHZ_HAZ_IMOHAZARDC,118,1)&lt;&gt;"",INDEX(IHZ_HAZ_UNNUMBER,118,1)&lt;&gt;""),TRUE)</f>
        <v>1</v>
      </c>
      <c r="H1375" s="52" t="str">
        <f t="shared" si="43"/>
        <v>Row 118 - If ‘DG classification’ is ‘IMDG’ the ‘IMO Hazard Class’ and ‘UN Number’ is mandatory</v>
      </c>
      <c r="I1375" s="236" t="s">
        <v>1853</v>
      </c>
      <c r="J1375" s="52" t="b">
        <f>IF(OR(INDEX(OHZ_HAZ_DGCLASSIFI,118,1)="IMDG",),AND(INDEX(OHZ_HAZ_IMOHAZARDC,118,1)&lt;&gt;"",INDEX(OHZ_HAZ_UNNUMBER,118,1)&lt;&gt;""),TRUE)</f>
        <v>1</v>
      </c>
      <c r="K1375" s="52" t="str">
        <f t="shared" si="44"/>
        <v>Row 118 - If ‘DG classification’ is ‘IMDG’ the ‘IMO Hazard Class’ and ‘UN Number’ is mandatory</v>
      </c>
    </row>
    <row r="1376" spans="7:11">
      <c r="G1376" s="250" t="b">
        <f>IF(OR(INDEX(IHZ_HAZ_DGCLASSIFI,119,1)="IMDG",),AND(INDEX(IHZ_HAZ_IMOHAZARDC,119,1)&lt;&gt;"",INDEX(IHZ_HAZ_UNNUMBER,119,1)&lt;&gt;""),TRUE)</f>
        <v>1</v>
      </c>
      <c r="H1376" s="52" t="str">
        <f t="shared" si="43"/>
        <v>Row 119 - If ‘DG classification’ is ‘IMDG’ the ‘IMO Hazard Class’ and ‘UN Number’ is mandatory</v>
      </c>
      <c r="I1376" s="236" t="s">
        <v>1853</v>
      </c>
      <c r="J1376" s="52" t="b">
        <f>IF(OR(INDEX(OHZ_HAZ_DGCLASSIFI,119,1)="IMDG",),AND(INDEX(OHZ_HAZ_IMOHAZARDC,119,1)&lt;&gt;"",INDEX(OHZ_HAZ_UNNUMBER,119,1)&lt;&gt;""),TRUE)</f>
        <v>1</v>
      </c>
      <c r="K1376" s="52" t="str">
        <f t="shared" si="44"/>
        <v>Row 119 - If ‘DG classification’ is ‘IMDG’ the ‘IMO Hazard Class’ and ‘UN Number’ is mandatory</v>
      </c>
    </row>
    <row r="1377" spans="7:11">
      <c r="G1377" s="250" t="b">
        <f>IF(OR(INDEX(IHZ_HAZ_DGCLASSIFI,120,1)="IMDG",),AND(INDEX(IHZ_HAZ_IMOHAZARDC,120,1)&lt;&gt;"",INDEX(IHZ_HAZ_UNNUMBER,120,1)&lt;&gt;""),TRUE)</f>
        <v>1</v>
      </c>
      <c r="H1377" s="52" t="str">
        <f t="shared" si="43"/>
        <v>Row 120 - If ‘DG classification’ is ‘IMDG’ the ‘IMO Hazard Class’ and ‘UN Number’ is mandatory</v>
      </c>
      <c r="I1377" s="236" t="s">
        <v>1853</v>
      </c>
      <c r="J1377" s="52" t="b">
        <f>IF(OR(INDEX(OHZ_HAZ_DGCLASSIFI,120,1)="IMDG",),AND(INDEX(OHZ_HAZ_IMOHAZARDC,120,1)&lt;&gt;"",INDEX(OHZ_HAZ_UNNUMBER,120,1)&lt;&gt;""),TRUE)</f>
        <v>1</v>
      </c>
      <c r="K1377" s="52" t="str">
        <f t="shared" si="44"/>
        <v>Row 120 - If ‘DG classification’ is ‘IMDG’ the ‘IMO Hazard Class’ and ‘UN Number’ is mandatory</v>
      </c>
    </row>
    <row r="1378" spans="7:11">
      <c r="G1378" s="250" t="b">
        <f>IF(OR(INDEX(IHZ_HAZ_DGCLASSIFI,121,1)="IMDG",),AND(INDEX(IHZ_HAZ_IMOHAZARDC,121,1)&lt;&gt;"",INDEX(IHZ_HAZ_UNNUMBER,121,1)&lt;&gt;""),TRUE)</f>
        <v>1</v>
      </c>
      <c r="H1378" s="52" t="str">
        <f t="shared" si="43"/>
        <v>Row 121 - If ‘DG classification’ is ‘IMDG’ the ‘IMO Hazard Class’ and ‘UN Number’ is mandatory</v>
      </c>
      <c r="I1378" s="236" t="s">
        <v>1853</v>
      </c>
      <c r="J1378" s="52" t="b">
        <f>IF(OR(INDEX(OHZ_HAZ_DGCLASSIFI,121,1)="IMDG",),AND(INDEX(OHZ_HAZ_IMOHAZARDC,121,1)&lt;&gt;"",INDEX(OHZ_HAZ_UNNUMBER,121,1)&lt;&gt;""),TRUE)</f>
        <v>1</v>
      </c>
      <c r="K1378" s="52" t="str">
        <f t="shared" si="44"/>
        <v>Row 121 - If ‘DG classification’ is ‘IMDG’ the ‘IMO Hazard Class’ and ‘UN Number’ is mandatory</v>
      </c>
    </row>
    <row r="1379" spans="7:11">
      <c r="G1379" s="250" t="b">
        <f>IF(OR(INDEX(IHZ_HAZ_DGCLASSIFI,122,1)="IMDG",),AND(INDEX(IHZ_HAZ_IMOHAZARDC,122,1)&lt;&gt;"",INDEX(IHZ_HAZ_UNNUMBER,122,1)&lt;&gt;""),TRUE)</f>
        <v>1</v>
      </c>
      <c r="H1379" s="52" t="str">
        <f t="shared" si="43"/>
        <v>Row 122 - If ‘DG classification’ is ‘IMDG’ the ‘IMO Hazard Class’ and ‘UN Number’ is mandatory</v>
      </c>
      <c r="I1379" s="236" t="s">
        <v>1853</v>
      </c>
      <c r="J1379" s="52" t="b">
        <f>IF(OR(INDEX(OHZ_HAZ_DGCLASSIFI,122,1)="IMDG",),AND(INDEX(OHZ_HAZ_IMOHAZARDC,122,1)&lt;&gt;"",INDEX(OHZ_HAZ_UNNUMBER,122,1)&lt;&gt;""),TRUE)</f>
        <v>1</v>
      </c>
      <c r="K1379" s="52" t="str">
        <f t="shared" si="44"/>
        <v>Row 122 - If ‘DG classification’ is ‘IMDG’ the ‘IMO Hazard Class’ and ‘UN Number’ is mandatory</v>
      </c>
    </row>
    <row r="1380" spans="7:11">
      <c r="G1380" s="250" t="b">
        <f>IF(OR(INDEX(IHZ_HAZ_DGCLASSIFI,123,1)="IMDG",),AND(INDEX(IHZ_HAZ_IMOHAZARDC,123,1)&lt;&gt;"",INDEX(IHZ_HAZ_UNNUMBER,123,1)&lt;&gt;""),TRUE)</f>
        <v>1</v>
      </c>
      <c r="H1380" s="52" t="str">
        <f t="shared" si="43"/>
        <v>Row 123 - If ‘DG classification’ is ‘IMDG’ the ‘IMO Hazard Class’ and ‘UN Number’ is mandatory</v>
      </c>
      <c r="I1380" s="236" t="s">
        <v>1853</v>
      </c>
      <c r="J1380" s="52" t="b">
        <f>IF(OR(INDEX(OHZ_HAZ_DGCLASSIFI,123,1)="IMDG",),AND(INDEX(OHZ_HAZ_IMOHAZARDC,123,1)&lt;&gt;"",INDEX(OHZ_HAZ_UNNUMBER,123,1)&lt;&gt;""),TRUE)</f>
        <v>1</v>
      </c>
      <c r="K1380" s="52" t="str">
        <f t="shared" si="44"/>
        <v>Row 123 - If ‘DG classification’ is ‘IMDG’ the ‘IMO Hazard Class’ and ‘UN Number’ is mandatory</v>
      </c>
    </row>
    <row r="1381" spans="7:11">
      <c r="G1381" s="250" t="b">
        <f>IF(OR(INDEX(IHZ_HAZ_DGCLASSIFI,124,1)="IMDG",),AND(INDEX(IHZ_HAZ_IMOHAZARDC,124,1)&lt;&gt;"",INDEX(IHZ_HAZ_UNNUMBER,124,1)&lt;&gt;""),TRUE)</f>
        <v>1</v>
      </c>
      <c r="H1381" s="52" t="str">
        <f t="shared" si="43"/>
        <v>Row 124 - If ‘DG classification’ is ‘IMDG’ the ‘IMO Hazard Class’ and ‘UN Number’ is mandatory</v>
      </c>
      <c r="I1381" s="236" t="s">
        <v>1853</v>
      </c>
      <c r="J1381" s="52" t="b">
        <f>IF(OR(INDEX(OHZ_HAZ_DGCLASSIFI,124,1)="IMDG",),AND(INDEX(OHZ_HAZ_IMOHAZARDC,124,1)&lt;&gt;"",INDEX(OHZ_HAZ_UNNUMBER,124,1)&lt;&gt;""),TRUE)</f>
        <v>1</v>
      </c>
      <c r="K1381" s="52" t="str">
        <f t="shared" si="44"/>
        <v>Row 124 - If ‘DG classification’ is ‘IMDG’ the ‘IMO Hazard Class’ and ‘UN Number’ is mandatory</v>
      </c>
    </row>
    <row r="1382" spans="7:11">
      <c r="G1382" s="250" t="b">
        <f>IF(OR(INDEX(IHZ_HAZ_DGCLASSIFI,125,1)="IMDG",),AND(INDEX(IHZ_HAZ_IMOHAZARDC,125,1)&lt;&gt;"",INDEX(IHZ_HAZ_UNNUMBER,125,1)&lt;&gt;""),TRUE)</f>
        <v>1</v>
      </c>
      <c r="H1382" s="52" t="str">
        <f t="shared" si="43"/>
        <v>Row 125 - If ‘DG classification’ is ‘IMDG’ the ‘IMO Hazard Class’ and ‘UN Number’ is mandatory</v>
      </c>
      <c r="I1382" s="236" t="s">
        <v>1853</v>
      </c>
      <c r="J1382" s="52" t="b">
        <f>IF(OR(INDEX(OHZ_HAZ_DGCLASSIFI,125,1)="IMDG",),AND(INDEX(OHZ_HAZ_IMOHAZARDC,125,1)&lt;&gt;"",INDEX(OHZ_HAZ_UNNUMBER,125,1)&lt;&gt;""),TRUE)</f>
        <v>1</v>
      </c>
      <c r="K1382" s="52" t="str">
        <f t="shared" si="44"/>
        <v>Row 125 - If ‘DG classification’ is ‘IMDG’ the ‘IMO Hazard Class’ and ‘UN Number’ is mandatory</v>
      </c>
    </row>
    <row r="1383" spans="7:11">
      <c r="G1383" s="250" t="b">
        <f>IF(OR(INDEX(IHZ_HAZ_DGCLASSIFI,126,1)="IMDG",),AND(INDEX(IHZ_HAZ_IMOHAZARDC,126,1)&lt;&gt;"",INDEX(IHZ_HAZ_UNNUMBER,126,1)&lt;&gt;""),TRUE)</f>
        <v>1</v>
      </c>
      <c r="H1383" s="52" t="str">
        <f t="shared" si="43"/>
        <v>Row 126 - If ‘DG classification’ is ‘IMDG’ the ‘IMO Hazard Class’ and ‘UN Number’ is mandatory</v>
      </c>
      <c r="I1383" s="236" t="s">
        <v>1853</v>
      </c>
      <c r="J1383" s="52" t="b">
        <f>IF(OR(INDEX(OHZ_HAZ_DGCLASSIFI,126,1)="IMDG",),AND(INDEX(OHZ_HAZ_IMOHAZARDC,126,1)&lt;&gt;"",INDEX(OHZ_HAZ_UNNUMBER,126,1)&lt;&gt;""),TRUE)</f>
        <v>1</v>
      </c>
      <c r="K1383" s="52" t="str">
        <f t="shared" si="44"/>
        <v>Row 126 - If ‘DG classification’ is ‘IMDG’ the ‘IMO Hazard Class’ and ‘UN Number’ is mandatory</v>
      </c>
    </row>
    <row r="1384" spans="7:11">
      <c r="G1384" s="250" t="b">
        <f>IF(OR(INDEX(IHZ_HAZ_DGCLASSIFI,127,1)="IMDG",),AND(INDEX(IHZ_HAZ_IMOHAZARDC,127,1)&lt;&gt;"",INDEX(IHZ_HAZ_UNNUMBER,127,1)&lt;&gt;""),TRUE)</f>
        <v>1</v>
      </c>
      <c r="H1384" s="52" t="str">
        <f t="shared" si="43"/>
        <v>Row 127 - If ‘DG classification’ is ‘IMDG’ the ‘IMO Hazard Class’ and ‘UN Number’ is mandatory</v>
      </c>
      <c r="I1384" s="236" t="s">
        <v>1853</v>
      </c>
      <c r="J1384" s="52" t="b">
        <f>IF(OR(INDEX(OHZ_HAZ_DGCLASSIFI,127,1)="IMDG",),AND(INDEX(OHZ_HAZ_IMOHAZARDC,127,1)&lt;&gt;"",INDEX(OHZ_HAZ_UNNUMBER,127,1)&lt;&gt;""),TRUE)</f>
        <v>1</v>
      </c>
      <c r="K1384" s="52" t="str">
        <f t="shared" si="44"/>
        <v>Row 127 - If ‘DG classification’ is ‘IMDG’ the ‘IMO Hazard Class’ and ‘UN Number’ is mandatory</v>
      </c>
    </row>
    <row r="1385" spans="7:11">
      <c r="G1385" s="250" t="b">
        <f>IF(OR(INDEX(IHZ_HAZ_DGCLASSIFI,128,1)="IMDG",),AND(INDEX(IHZ_HAZ_IMOHAZARDC,128,1)&lt;&gt;"",INDEX(IHZ_HAZ_UNNUMBER,128,1)&lt;&gt;""),TRUE)</f>
        <v>1</v>
      </c>
      <c r="H1385" s="52" t="str">
        <f t="shared" si="43"/>
        <v>Row 128 - If ‘DG classification’ is ‘IMDG’ the ‘IMO Hazard Class’ and ‘UN Number’ is mandatory</v>
      </c>
      <c r="I1385" s="236" t="s">
        <v>1853</v>
      </c>
      <c r="J1385" s="52" t="b">
        <f>IF(OR(INDEX(OHZ_HAZ_DGCLASSIFI,128,1)="IMDG",),AND(INDEX(OHZ_HAZ_IMOHAZARDC,128,1)&lt;&gt;"",INDEX(OHZ_HAZ_UNNUMBER,128,1)&lt;&gt;""),TRUE)</f>
        <v>1</v>
      </c>
      <c r="K1385" s="52" t="str">
        <f t="shared" si="44"/>
        <v>Row 128 - If ‘DG classification’ is ‘IMDG’ the ‘IMO Hazard Class’ and ‘UN Number’ is mandatory</v>
      </c>
    </row>
    <row r="1386" spans="7:11">
      <c r="G1386" s="250" t="b">
        <f>IF(OR(INDEX(IHZ_HAZ_DGCLASSIFI,129,1)="IMDG",),AND(INDEX(IHZ_HAZ_IMOHAZARDC,129,1)&lt;&gt;"",INDEX(IHZ_HAZ_UNNUMBER,129,1)&lt;&gt;""),TRUE)</f>
        <v>1</v>
      </c>
      <c r="H1386" s="52" t="str">
        <f t="shared" si="43"/>
        <v>Row 129 - If ‘DG classification’ is ‘IMDG’ the ‘IMO Hazard Class’ and ‘UN Number’ is mandatory</v>
      </c>
      <c r="I1386" s="236" t="s">
        <v>1853</v>
      </c>
      <c r="J1386" s="52" t="b">
        <f>IF(OR(INDEX(OHZ_HAZ_DGCLASSIFI,129,1)="IMDG",),AND(INDEX(OHZ_HAZ_IMOHAZARDC,129,1)&lt;&gt;"",INDEX(OHZ_HAZ_UNNUMBER,129,1)&lt;&gt;""),TRUE)</f>
        <v>1</v>
      </c>
      <c r="K1386" s="52" t="str">
        <f t="shared" si="44"/>
        <v>Row 129 - If ‘DG classification’ is ‘IMDG’ the ‘IMO Hazard Class’ and ‘UN Number’ is mandatory</v>
      </c>
    </row>
    <row r="1387" spans="7:11">
      <c r="G1387" s="250" t="b">
        <f>IF(OR(INDEX(IHZ_HAZ_DGCLASSIFI,130,1)="IMDG",),AND(INDEX(IHZ_HAZ_IMOHAZARDC,130,1)&lt;&gt;"",INDEX(IHZ_HAZ_UNNUMBER,130,1)&lt;&gt;""),TRUE)</f>
        <v>1</v>
      </c>
      <c r="H1387" s="52" t="str">
        <f t="shared" ref="H1387:H1450" si="45">T130&amp;$V$6</f>
        <v>Row 130 - If ‘DG classification’ is ‘IMDG’ the ‘IMO Hazard Class’ and ‘UN Number’ is mandatory</v>
      </c>
      <c r="I1387" s="236" t="s">
        <v>1853</v>
      </c>
      <c r="J1387" s="52" t="b">
        <f>IF(OR(INDEX(OHZ_HAZ_DGCLASSIFI,130,1)="IMDG",),AND(INDEX(OHZ_HAZ_IMOHAZARDC,130,1)&lt;&gt;"",INDEX(OHZ_HAZ_UNNUMBER,130,1)&lt;&gt;""),TRUE)</f>
        <v>1</v>
      </c>
      <c r="K1387" s="52" t="str">
        <f t="shared" ref="K1387:K1450" si="46">T130&amp;$V$6</f>
        <v>Row 130 - If ‘DG classification’ is ‘IMDG’ the ‘IMO Hazard Class’ and ‘UN Number’ is mandatory</v>
      </c>
    </row>
    <row r="1388" spans="7:11">
      <c r="G1388" s="250" t="b">
        <f>IF(OR(INDEX(IHZ_HAZ_DGCLASSIFI,131,1)="IMDG",),AND(INDEX(IHZ_HAZ_IMOHAZARDC,131,1)&lt;&gt;"",INDEX(IHZ_HAZ_UNNUMBER,131,1)&lt;&gt;""),TRUE)</f>
        <v>1</v>
      </c>
      <c r="H1388" s="52" t="str">
        <f t="shared" si="45"/>
        <v>Row 131 - If ‘DG classification’ is ‘IMDG’ the ‘IMO Hazard Class’ and ‘UN Number’ is mandatory</v>
      </c>
      <c r="I1388" s="236" t="s">
        <v>1853</v>
      </c>
      <c r="J1388" s="52" t="b">
        <f>IF(OR(INDEX(OHZ_HAZ_DGCLASSIFI,131,1)="IMDG",),AND(INDEX(OHZ_HAZ_IMOHAZARDC,131,1)&lt;&gt;"",INDEX(OHZ_HAZ_UNNUMBER,131,1)&lt;&gt;""),TRUE)</f>
        <v>1</v>
      </c>
      <c r="K1388" s="52" t="str">
        <f t="shared" si="46"/>
        <v>Row 131 - If ‘DG classification’ is ‘IMDG’ the ‘IMO Hazard Class’ and ‘UN Number’ is mandatory</v>
      </c>
    </row>
    <row r="1389" spans="7:11">
      <c r="G1389" s="250" t="b">
        <f>IF(OR(INDEX(IHZ_HAZ_DGCLASSIFI,132,1)="IMDG",),AND(INDEX(IHZ_HAZ_IMOHAZARDC,132,1)&lt;&gt;"",INDEX(IHZ_HAZ_UNNUMBER,132,1)&lt;&gt;""),TRUE)</f>
        <v>1</v>
      </c>
      <c r="H1389" s="52" t="str">
        <f t="shared" si="45"/>
        <v>Row 132 - If ‘DG classification’ is ‘IMDG’ the ‘IMO Hazard Class’ and ‘UN Number’ is mandatory</v>
      </c>
      <c r="I1389" s="236" t="s">
        <v>1853</v>
      </c>
      <c r="J1389" s="52" t="b">
        <f>IF(OR(INDEX(OHZ_HAZ_DGCLASSIFI,132,1)="IMDG",),AND(INDEX(OHZ_HAZ_IMOHAZARDC,132,1)&lt;&gt;"",INDEX(OHZ_HAZ_UNNUMBER,132,1)&lt;&gt;""),TRUE)</f>
        <v>1</v>
      </c>
      <c r="K1389" s="52" t="str">
        <f t="shared" si="46"/>
        <v>Row 132 - If ‘DG classification’ is ‘IMDG’ the ‘IMO Hazard Class’ and ‘UN Number’ is mandatory</v>
      </c>
    </row>
    <row r="1390" spans="7:11">
      <c r="G1390" s="250" t="b">
        <f>IF(OR(INDEX(IHZ_HAZ_DGCLASSIFI,133,1)="IMDG",),AND(INDEX(IHZ_HAZ_IMOHAZARDC,133,1)&lt;&gt;"",INDEX(IHZ_HAZ_UNNUMBER,133,1)&lt;&gt;""),TRUE)</f>
        <v>1</v>
      </c>
      <c r="H1390" s="52" t="str">
        <f t="shared" si="45"/>
        <v>Row 133 - If ‘DG classification’ is ‘IMDG’ the ‘IMO Hazard Class’ and ‘UN Number’ is mandatory</v>
      </c>
      <c r="I1390" s="236" t="s">
        <v>1853</v>
      </c>
      <c r="J1390" s="52" t="b">
        <f>IF(OR(INDEX(OHZ_HAZ_DGCLASSIFI,133,1)="IMDG",),AND(INDEX(OHZ_HAZ_IMOHAZARDC,133,1)&lt;&gt;"",INDEX(OHZ_HAZ_UNNUMBER,133,1)&lt;&gt;""),TRUE)</f>
        <v>1</v>
      </c>
      <c r="K1390" s="52" t="str">
        <f t="shared" si="46"/>
        <v>Row 133 - If ‘DG classification’ is ‘IMDG’ the ‘IMO Hazard Class’ and ‘UN Number’ is mandatory</v>
      </c>
    </row>
    <row r="1391" spans="7:11">
      <c r="G1391" s="250" t="b">
        <f>IF(OR(INDEX(IHZ_HAZ_DGCLASSIFI,134,1)="IMDG",),AND(INDEX(IHZ_HAZ_IMOHAZARDC,134,1)&lt;&gt;"",INDEX(IHZ_HAZ_UNNUMBER,134,1)&lt;&gt;""),TRUE)</f>
        <v>1</v>
      </c>
      <c r="H1391" s="52" t="str">
        <f t="shared" si="45"/>
        <v>Row 134 - If ‘DG classification’ is ‘IMDG’ the ‘IMO Hazard Class’ and ‘UN Number’ is mandatory</v>
      </c>
      <c r="I1391" s="236" t="s">
        <v>1853</v>
      </c>
      <c r="J1391" s="52" t="b">
        <f>IF(OR(INDEX(OHZ_HAZ_DGCLASSIFI,134,1)="IMDG",),AND(INDEX(OHZ_HAZ_IMOHAZARDC,134,1)&lt;&gt;"",INDEX(OHZ_HAZ_UNNUMBER,134,1)&lt;&gt;""),TRUE)</f>
        <v>1</v>
      </c>
      <c r="K1391" s="52" t="str">
        <f t="shared" si="46"/>
        <v>Row 134 - If ‘DG classification’ is ‘IMDG’ the ‘IMO Hazard Class’ and ‘UN Number’ is mandatory</v>
      </c>
    </row>
    <row r="1392" spans="7:11">
      <c r="G1392" s="250" t="b">
        <f>IF(OR(INDEX(IHZ_HAZ_DGCLASSIFI,135,1)="IMDG",),AND(INDEX(IHZ_HAZ_IMOHAZARDC,135,1)&lt;&gt;"",INDEX(IHZ_HAZ_UNNUMBER,135,1)&lt;&gt;""),TRUE)</f>
        <v>1</v>
      </c>
      <c r="H1392" s="52" t="str">
        <f t="shared" si="45"/>
        <v>Row 135 - If ‘DG classification’ is ‘IMDG’ the ‘IMO Hazard Class’ and ‘UN Number’ is mandatory</v>
      </c>
      <c r="I1392" s="236" t="s">
        <v>1853</v>
      </c>
      <c r="J1392" s="52" t="b">
        <f>IF(OR(INDEX(OHZ_HAZ_DGCLASSIFI,135,1)="IMDG",),AND(INDEX(OHZ_HAZ_IMOHAZARDC,135,1)&lt;&gt;"",INDEX(OHZ_HAZ_UNNUMBER,135,1)&lt;&gt;""),TRUE)</f>
        <v>1</v>
      </c>
      <c r="K1392" s="52" t="str">
        <f t="shared" si="46"/>
        <v>Row 135 - If ‘DG classification’ is ‘IMDG’ the ‘IMO Hazard Class’ and ‘UN Number’ is mandatory</v>
      </c>
    </row>
    <row r="1393" spans="7:11">
      <c r="G1393" s="250" t="b">
        <f>IF(OR(INDEX(IHZ_HAZ_DGCLASSIFI,136,1)="IMDG",),AND(INDEX(IHZ_HAZ_IMOHAZARDC,136,1)&lt;&gt;"",INDEX(IHZ_HAZ_UNNUMBER,136,1)&lt;&gt;""),TRUE)</f>
        <v>1</v>
      </c>
      <c r="H1393" s="52" t="str">
        <f t="shared" si="45"/>
        <v>Row 136 - If ‘DG classification’ is ‘IMDG’ the ‘IMO Hazard Class’ and ‘UN Number’ is mandatory</v>
      </c>
      <c r="I1393" s="236" t="s">
        <v>1853</v>
      </c>
      <c r="J1393" s="52" t="b">
        <f>IF(OR(INDEX(OHZ_HAZ_DGCLASSIFI,136,1)="IMDG",),AND(INDEX(OHZ_HAZ_IMOHAZARDC,136,1)&lt;&gt;"",INDEX(OHZ_HAZ_UNNUMBER,136,1)&lt;&gt;""),TRUE)</f>
        <v>1</v>
      </c>
      <c r="K1393" s="52" t="str">
        <f t="shared" si="46"/>
        <v>Row 136 - If ‘DG classification’ is ‘IMDG’ the ‘IMO Hazard Class’ and ‘UN Number’ is mandatory</v>
      </c>
    </row>
    <row r="1394" spans="7:11">
      <c r="G1394" s="250" t="b">
        <f>IF(OR(INDEX(IHZ_HAZ_DGCLASSIFI,137,1)="IMDG",),AND(INDEX(IHZ_HAZ_IMOHAZARDC,137,1)&lt;&gt;"",INDEX(IHZ_HAZ_UNNUMBER,137,1)&lt;&gt;""),TRUE)</f>
        <v>1</v>
      </c>
      <c r="H1394" s="52" t="str">
        <f t="shared" si="45"/>
        <v>Row 137 - If ‘DG classification’ is ‘IMDG’ the ‘IMO Hazard Class’ and ‘UN Number’ is mandatory</v>
      </c>
      <c r="I1394" s="236" t="s">
        <v>1853</v>
      </c>
      <c r="J1394" s="52" t="b">
        <f>IF(OR(INDEX(OHZ_HAZ_DGCLASSIFI,137,1)="IMDG",),AND(INDEX(OHZ_HAZ_IMOHAZARDC,137,1)&lt;&gt;"",INDEX(OHZ_HAZ_UNNUMBER,137,1)&lt;&gt;""),TRUE)</f>
        <v>1</v>
      </c>
      <c r="K1394" s="52" t="str">
        <f t="shared" si="46"/>
        <v>Row 137 - If ‘DG classification’ is ‘IMDG’ the ‘IMO Hazard Class’ and ‘UN Number’ is mandatory</v>
      </c>
    </row>
    <row r="1395" spans="7:11">
      <c r="G1395" s="250" t="b">
        <f>IF(OR(INDEX(IHZ_HAZ_DGCLASSIFI,138,1)="IMDG",),AND(INDEX(IHZ_HAZ_IMOHAZARDC,138,1)&lt;&gt;"",INDEX(IHZ_HAZ_UNNUMBER,138,1)&lt;&gt;""),TRUE)</f>
        <v>1</v>
      </c>
      <c r="H1395" s="52" t="str">
        <f t="shared" si="45"/>
        <v>Row 138 - If ‘DG classification’ is ‘IMDG’ the ‘IMO Hazard Class’ and ‘UN Number’ is mandatory</v>
      </c>
      <c r="I1395" s="236" t="s">
        <v>1853</v>
      </c>
      <c r="J1395" s="52" t="b">
        <f>IF(OR(INDEX(OHZ_HAZ_DGCLASSIFI,138,1)="IMDG",),AND(INDEX(OHZ_HAZ_IMOHAZARDC,138,1)&lt;&gt;"",INDEX(OHZ_HAZ_UNNUMBER,138,1)&lt;&gt;""),TRUE)</f>
        <v>1</v>
      </c>
      <c r="K1395" s="52" t="str">
        <f t="shared" si="46"/>
        <v>Row 138 - If ‘DG classification’ is ‘IMDG’ the ‘IMO Hazard Class’ and ‘UN Number’ is mandatory</v>
      </c>
    </row>
    <row r="1396" spans="7:11">
      <c r="G1396" s="250" t="b">
        <f>IF(OR(INDEX(IHZ_HAZ_DGCLASSIFI,139,1)="IMDG",),AND(INDEX(IHZ_HAZ_IMOHAZARDC,139,1)&lt;&gt;"",INDEX(IHZ_HAZ_UNNUMBER,139,1)&lt;&gt;""),TRUE)</f>
        <v>1</v>
      </c>
      <c r="H1396" s="52" t="str">
        <f t="shared" si="45"/>
        <v>Row 139 - If ‘DG classification’ is ‘IMDG’ the ‘IMO Hazard Class’ and ‘UN Number’ is mandatory</v>
      </c>
      <c r="I1396" s="236" t="s">
        <v>1853</v>
      </c>
      <c r="J1396" s="52" t="b">
        <f>IF(OR(INDEX(OHZ_HAZ_DGCLASSIFI,139,1)="IMDG",),AND(INDEX(OHZ_HAZ_IMOHAZARDC,139,1)&lt;&gt;"",INDEX(OHZ_HAZ_UNNUMBER,139,1)&lt;&gt;""),TRUE)</f>
        <v>1</v>
      </c>
      <c r="K1396" s="52" t="str">
        <f t="shared" si="46"/>
        <v>Row 139 - If ‘DG classification’ is ‘IMDG’ the ‘IMO Hazard Class’ and ‘UN Number’ is mandatory</v>
      </c>
    </row>
    <row r="1397" spans="7:11">
      <c r="G1397" s="250" t="b">
        <f>IF(OR(INDEX(IHZ_HAZ_DGCLASSIFI,140,1)="IMDG",),AND(INDEX(IHZ_HAZ_IMOHAZARDC,140,1)&lt;&gt;"",INDEX(IHZ_HAZ_UNNUMBER,140,1)&lt;&gt;""),TRUE)</f>
        <v>1</v>
      </c>
      <c r="H1397" s="52" t="str">
        <f t="shared" si="45"/>
        <v>Row 140 - If ‘DG classification’ is ‘IMDG’ the ‘IMO Hazard Class’ and ‘UN Number’ is mandatory</v>
      </c>
      <c r="I1397" s="236" t="s">
        <v>1853</v>
      </c>
      <c r="J1397" s="52" t="b">
        <f>IF(OR(INDEX(OHZ_HAZ_DGCLASSIFI,140,1)="IMDG",),AND(INDEX(OHZ_HAZ_IMOHAZARDC,140,1)&lt;&gt;"",INDEX(OHZ_HAZ_UNNUMBER,140,1)&lt;&gt;""),TRUE)</f>
        <v>1</v>
      </c>
      <c r="K1397" s="52" t="str">
        <f t="shared" si="46"/>
        <v>Row 140 - If ‘DG classification’ is ‘IMDG’ the ‘IMO Hazard Class’ and ‘UN Number’ is mandatory</v>
      </c>
    </row>
    <row r="1398" spans="7:11">
      <c r="G1398" s="250" t="b">
        <f>IF(OR(INDEX(IHZ_HAZ_DGCLASSIFI,141,1)="IMDG",),AND(INDEX(IHZ_HAZ_IMOHAZARDC,141,1)&lt;&gt;"",INDEX(IHZ_HAZ_UNNUMBER,141,1)&lt;&gt;""),TRUE)</f>
        <v>1</v>
      </c>
      <c r="H1398" s="52" t="str">
        <f t="shared" si="45"/>
        <v>Row 141 - If ‘DG classification’ is ‘IMDG’ the ‘IMO Hazard Class’ and ‘UN Number’ is mandatory</v>
      </c>
      <c r="I1398" s="236" t="s">
        <v>1853</v>
      </c>
      <c r="J1398" s="52" t="b">
        <f>IF(OR(INDEX(OHZ_HAZ_DGCLASSIFI,141,1)="IMDG",),AND(INDEX(OHZ_HAZ_IMOHAZARDC,141,1)&lt;&gt;"",INDEX(OHZ_HAZ_UNNUMBER,141,1)&lt;&gt;""),TRUE)</f>
        <v>1</v>
      </c>
      <c r="K1398" s="52" t="str">
        <f t="shared" si="46"/>
        <v>Row 141 - If ‘DG classification’ is ‘IMDG’ the ‘IMO Hazard Class’ and ‘UN Number’ is mandatory</v>
      </c>
    </row>
    <row r="1399" spans="7:11">
      <c r="G1399" s="250" t="b">
        <f>IF(OR(INDEX(IHZ_HAZ_DGCLASSIFI,142,1)="IMDG",),AND(INDEX(IHZ_HAZ_IMOHAZARDC,142,1)&lt;&gt;"",INDEX(IHZ_HAZ_UNNUMBER,142,1)&lt;&gt;""),TRUE)</f>
        <v>1</v>
      </c>
      <c r="H1399" s="52" t="str">
        <f t="shared" si="45"/>
        <v>Row 142 - If ‘DG classification’ is ‘IMDG’ the ‘IMO Hazard Class’ and ‘UN Number’ is mandatory</v>
      </c>
      <c r="I1399" s="236" t="s">
        <v>1853</v>
      </c>
      <c r="J1399" s="52" t="b">
        <f>IF(OR(INDEX(OHZ_HAZ_DGCLASSIFI,142,1)="IMDG",),AND(INDEX(OHZ_HAZ_IMOHAZARDC,142,1)&lt;&gt;"",INDEX(OHZ_HAZ_UNNUMBER,142,1)&lt;&gt;""),TRUE)</f>
        <v>1</v>
      </c>
      <c r="K1399" s="52" t="str">
        <f t="shared" si="46"/>
        <v>Row 142 - If ‘DG classification’ is ‘IMDG’ the ‘IMO Hazard Class’ and ‘UN Number’ is mandatory</v>
      </c>
    </row>
    <row r="1400" spans="7:11">
      <c r="G1400" s="250" t="b">
        <f>IF(OR(INDEX(IHZ_HAZ_DGCLASSIFI,143,1)="IMDG",),AND(INDEX(IHZ_HAZ_IMOHAZARDC,143,1)&lt;&gt;"",INDEX(IHZ_HAZ_UNNUMBER,143,1)&lt;&gt;""),TRUE)</f>
        <v>1</v>
      </c>
      <c r="H1400" s="52" t="str">
        <f t="shared" si="45"/>
        <v>Row 143 - If ‘DG classification’ is ‘IMDG’ the ‘IMO Hazard Class’ and ‘UN Number’ is mandatory</v>
      </c>
      <c r="I1400" s="236" t="s">
        <v>1853</v>
      </c>
      <c r="J1400" s="52" t="b">
        <f>IF(OR(INDEX(OHZ_HAZ_DGCLASSIFI,143,1)="IMDG",),AND(INDEX(OHZ_HAZ_IMOHAZARDC,143,1)&lt;&gt;"",INDEX(OHZ_HAZ_UNNUMBER,143,1)&lt;&gt;""),TRUE)</f>
        <v>1</v>
      </c>
      <c r="K1400" s="52" t="str">
        <f t="shared" si="46"/>
        <v>Row 143 - If ‘DG classification’ is ‘IMDG’ the ‘IMO Hazard Class’ and ‘UN Number’ is mandatory</v>
      </c>
    </row>
    <row r="1401" spans="7:11">
      <c r="G1401" s="250" t="b">
        <f>IF(OR(INDEX(IHZ_HAZ_DGCLASSIFI,144,1)="IMDG",),AND(INDEX(IHZ_HAZ_IMOHAZARDC,144,1)&lt;&gt;"",INDEX(IHZ_HAZ_UNNUMBER,144,1)&lt;&gt;""),TRUE)</f>
        <v>1</v>
      </c>
      <c r="H1401" s="52" t="str">
        <f t="shared" si="45"/>
        <v>Row 144 - If ‘DG classification’ is ‘IMDG’ the ‘IMO Hazard Class’ and ‘UN Number’ is mandatory</v>
      </c>
      <c r="I1401" s="236" t="s">
        <v>1853</v>
      </c>
      <c r="J1401" s="52" t="b">
        <f>IF(OR(INDEX(OHZ_HAZ_DGCLASSIFI,144,1)="IMDG",),AND(INDEX(OHZ_HAZ_IMOHAZARDC,144,1)&lt;&gt;"",INDEX(OHZ_HAZ_UNNUMBER,144,1)&lt;&gt;""),TRUE)</f>
        <v>1</v>
      </c>
      <c r="K1401" s="52" t="str">
        <f t="shared" si="46"/>
        <v>Row 144 - If ‘DG classification’ is ‘IMDG’ the ‘IMO Hazard Class’ and ‘UN Number’ is mandatory</v>
      </c>
    </row>
    <row r="1402" spans="7:11">
      <c r="G1402" s="250" t="b">
        <f>IF(OR(INDEX(IHZ_HAZ_DGCLASSIFI,145,1)="IMDG",),AND(INDEX(IHZ_HAZ_IMOHAZARDC,145,1)&lt;&gt;"",INDEX(IHZ_HAZ_UNNUMBER,145,1)&lt;&gt;""),TRUE)</f>
        <v>1</v>
      </c>
      <c r="H1402" s="52" t="str">
        <f t="shared" si="45"/>
        <v>Row 145 - If ‘DG classification’ is ‘IMDG’ the ‘IMO Hazard Class’ and ‘UN Number’ is mandatory</v>
      </c>
      <c r="I1402" s="236" t="s">
        <v>1853</v>
      </c>
      <c r="J1402" s="52" t="b">
        <f>IF(OR(INDEX(OHZ_HAZ_DGCLASSIFI,145,1)="IMDG",),AND(INDEX(OHZ_HAZ_IMOHAZARDC,145,1)&lt;&gt;"",INDEX(OHZ_HAZ_UNNUMBER,145,1)&lt;&gt;""),TRUE)</f>
        <v>1</v>
      </c>
      <c r="K1402" s="52" t="str">
        <f t="shared" si="46"/>
        <v>Row 145 - If ‘DG classification’ is ‘IMDG’ the ‘IMO Hazard Class’ and ‘UN Number’ is mandatory</v>
      </c>
    </row>
    <row r="1403" spans="7:11">
      <c r="G1403" s="250" t="b">
        <f>IF(OR(INDEX(IHZ_HAZ_DGCLASSIFI,146,1)="IMDG",),AND(INDEX(IHZ_HAZ_IMOHAZARDC,146,1)&lt;&gt;"",INDEX(IHZ_HAZ_UNNUMBER,146,1)&lt;&gt;""),TRUE)</f>
        <v>1</v>
      </c>
      <c r="H1403" s="52" t="str">
        <f t="shared" si="45"/>
        <v>Row 146 - If ‘DG classification’ is ‘IMDG’ the ‘IMO Hazard Class’ and ‘UN Number’ is mandatory</v>
      </c>
      <c r="I1403" s="236" t="s">
        <v>1853</v>
      </c>
      <c r="J1403" s="52" t="b">
        <f>IF(OR(INDEX(OHZ_HAZ_DGCLASSIFI,146,1)="IMDG",),AND(INDEX(OHZ_HAZ_IMOHAZARDC,146,1)&lt;&gt;"",INDEX(OHZ_HAZ_UNNUMBER,146,1)&lt;&gt;""),TRUE)</f>
        <v>1</v>
      </c>
      <c r="K1403" s="52" t="str">
        <f t="shared" si="46"/>
        <v>Row 146 - If ‘DG classification’ is ‘IMDG’ the ‘IMO Hazard Class’ and ‘UN Number’ is mandatory</v>
      </c>
    </row>
    <row r="1404" spans="7:11">
      <c r="G1404" s="250" t="b">
        <f>IF(OR(INDEX(IHZ_HAZ_DGCLASSIFI,147,1)="IMDG",),AND(INDEX(IHZ_HAZ_IMOHAZARDC,147,1)&lt;&gt;"",INDEX(IHZ_HAZ_UNNUMBER,147,1)&lt;&gt;""),TRUE)</f>
        <v>1</v>
      </c>
      <c r="H1404" s="52" t="str">
        <f t="shared" si="45"/>
        <v>Row 147 - If ‘DG classification’ is ‘IMDG’ the ‘IMO Hazard Class’ and ‘UN Number’ is mandatory</v>
      </c>
      <c r="I1404" s="236" t="s">
        <v>1853</v>
      </c>
      <c r="J1404" s="52" t="b">
        <f>IF(OR(INDEX(OHZ_HAZ_DGCLASSIFI,147,1)="IMDG",),AND(INDEX(OHZ_HAZ_IMOHAZARDC,147,1)&lt;&gt;"",INDEX(OHZ_HAZ_UNNUMBER,147,1)&lt;&gt;""),TRUE)</f>
        <v>1</v>
      </c>
      <c r="K1404" s="52" t="str">
        <f t="shared" si="46"/>
        <v>Row 147 - If ‘DG classification’ is ‘IMDG’ the ‘IMO Hazard Class’ and ‘UN Number’ is mandatory</v>
      </c>
    </row>
    <row r="1405" spans="7:11">
      <c r="G1405" s="250" t="b">
        <f>IF(OR(INDEX(IHZ_HAZ_DGCLASSIFI,148,1)="IMDG",),AND(INDEX(IHZ_HAZ_IMOHAZARDC,148,1)&lt;&gt;"",INDEX(IHZ_HAZ_UNNUMBER,148,1)&lt;&gt;""),TRUE)</f>
        <v>1</v>
      </c>
      <c r="H1405" s="52" t="str">
        <f t="shared" si="45"/>
        <v>Row 148 - If ‘DG classification’ is ‘IMDG’ the ‘IMO Hazard Class’ and ‘UN Number’ is mandatory</v>
      </c>
      <c r="I1405" s="236" t="s">
        <v>1853</v>
      </c>
      <c r="J1405" s="52" t="b">
        <f>IF(OR(INDEX(OHZ_HAZ_DGCLASSIFI,148,1)="IMDG",),AND(INDEX(OHZ_HAZ_IMOHAZARDC,148,1)&lt;&gt;"",INDEX(OHZ_HAZ_UNNUMBER,148,1)&lt;&gt;""),TRUE)</f>
        <v>1</v>
      </c>
      <c r="K1405" s="52" t="str">
        <f t="shared" si="46"/>
        <v>Row 148 - If ‘DG classification’ is ‘IMDG’ the ‘IMO Hazard Class’ and ‘UN Number’ is mandatory</v>
      </c>
    </row>
    <row r="1406" spans="7:11">
      <c r="G1406" s="250" t="b">
        <f>IF(OR(INDEX(IHZ_HAZ_DGCLASSIFI,149,1)="IMDG",),AND(INDEX(IHZ_HAZ_IMOHAZARDC,149,1)&lt;&gt;"",INDEX(IHZ_HAZ_UNNUMBER,149,1)&lt;&gt;""),TRUE)</f>
        <v>1</v>
      </c>
      <c r="H1406" s="52" t="str">
        <f t="shared" si="45"/>
        <v>Row 149 - If ‘DG classification’ is ‘IMDG’ the ‘IMO Hazard Class’ and ‘UN Number’ is mandatory</v>
      </c>
      <c r="J1406" s="52" t="b">
        <f>IF(OR(INDEX(OHZ_HAZ_DGCLASSIFI,149,1)="IMDG",),AND(INDEX(OHZ_HAZ_IMOHAZARDC,149,1)&lt;&gt;"",INDEX(OHZ_HAZ_UNNUMBER,149,1)&lt;&gt;""),TRUE)</f>
        <v>1</v>
      </c>
      <c r="K1406" s="52" t="str">
        <f t="shared" si="46"/>
        <v>Row 149 - If ‘DG classification’ is ‘IMDG’ the ‘IMO Hazard Class’ and ‘UN Number’ is mandatory</v>
      </c>
    </row>
    <row r="1407" spans="7:11">
      <c r="G1407" s="250" t="b">
        <f>IF(OR(INDEX(IHZ_HAZ_DGCLASSIFI,150,1)="IMDG",),AND(INDEX(IHZ_HAZ_IMOHAZARDC,150,1)&lt;&gt;"",INDEX(IHZ_HAZ_UNNUMBER,150,1)&lt;&gt;""),TRUE)</f>
        <v>1</v>
      </c>
      <c r="H1407" s="52" t="str">
        <f t="shared" si="45"/>
        <v>Row 150 - If ‘DG classification’ is ‘IMDG’ the ‘IMO Hazard Class’ and ‘UN Number’ is mandatory</v>
      </c>
      <c r="J1407" s="52" t="b">
        <f>IF(OR(INDEX(OHZ_HAZ_DGCLASSIFI,150,1)="IMDG",),AND(INDEX(OHZ_HAZ_IMOHAZARDC,150,1)&lt;&gt;"",INDEX(OHZ_HAZ_UNNUMBER,150,1)&lt;&gt;""),TRUE)</f>
        <v>1</v>
      </c>
      <c r="K1407" s="52" t="str">
        <f t="shared" si="46"/>
        <v>Row 150 - If ‘DG classification’ is ‘IMDG’ the ‘IMO Hazard Class’ and ‘UN Number’ is mandatory</v>
      </c>
    </row>
    <row r="1408" spans="7:11">
      <c r="G1408" s="250" t="b">
        <f>IF(OR(INDEX(IHZ_HAZ_DGCLASSIFI,151,1)="IMDG",),AND(INDEX(IHZ_HAZ_IMOHAZARDC,151,1)&lt;&gt;"",INDEX(IHZ_HAZ_UNNUMBER,151,1)&lt;&gt;""),TRUE)</f>
        <v>1</v>
      </c>
      <c r="H1408" s="52" t="str">
        <f t="shared" si="45"/>
        <v>Row 151 - If ‘DG classification’ is ‘IMDG’ the ‘IMO Hazard Class’ and ‘UN Number’ is mandatory</v>
      </c>
      <c r="J1408" s="52" t="b">
        <f>IF(OR(INDEX(OHZ_HAZ_DGCLASSIFI,151,1)="IMDG",),AND(INDEX(OHZ_HAZ_IMOHAZARDC,151,1)&lt;&gt;"",INDEX(OHZ_HAZ_UNNUMBER,151,1)&lt;&gt;""),TRUE)</f>
        <v>1</v>
      </c>
      <c r="K1408" s="52" t="str">
        <f t="shared" si="46"/>
        <v>Row 151 - If ‘DG classification’ is ‘IMDG’ the ‘IMO Hazard Class’ and ‘UN Number’ is mandatory</v>
      </c>
    </row>
    <row r="1409" spans="7:11">
      <c r="G1409" s="250" t="b">
        <f>IF(OR(INDEX(IHZ_HAZ_DGCLASSIFI,152,1)="IMDG",),AND(INDEX(IHZ_HAZ_IMOHAZARDC,152,1)&lt;&gt;"",INDEX(IHZ_HAZ_UNNUMBER,152,1)&lt;&gt;""),TRUE)</f>
        <v>1</v>
      </c>
      <c r="H1409" s="52" t="str">
        <f t="shared" si="45"/>
        <v>Row 152 - If ‘DG classification’ is ‘IMDG’ the ‘IMO Hazard Class’ and ‘UN Number’ is mandatory</v>
      </c>
      <c r="J1409" s="52" t="b">
        <f>IF(OR(INDEX(OHZ_HAZ_DGCLASSIFI,152,1)="IMDG",),AND(INDEX(OHZ_HAZ_IMOHAZARDC,152,1)&lt;&gt;"",INDEX(OHZ_HAZ_UNNUMBER,152,1)&lt;&gt;""),TRUE)</f>
        <v>1</v>
      </c>
      <c r="K1409" s="52" t="str">
        <f t="shared" si="46"/>
        <v>Row 152 - If ‘DG classification’ is ‘IMDG’ the ‘IMO Hazard Class’ and ‘UN Number’ is mandatory</v>
      </c>
    </row>
    <row r="1410" spans="7:11">
      <c r="G1410" s="250" t="b">
        <f>IF(OR(INDEX(IHZ_HAZ_DGCLASSIFI,153,1)="IMDG",),AND(INDEX(IHZ_HAZ_IMOHAZARDC,153,1)&lt;&gt;"",INDEX(IHZ_HAZ_UNNUMBER,153,1)&lt;&gt;""),TRUE)</f>
        <v>1</v>
      </c>
      <c r="H1410" s="52" t="str">
        <f t="shared" si="45"/>
        <v>Row 153 - If ‘DG classification’ is ‘IMDG’ the ‘IMO Hazard Class’ and ‘UN Number’ is mandatory</v>
      </c>
      <c r="J1410" s="52" t="b">
        <f>IF(OR(INDEX(OHZ_HAZ_DGCLASSIFI,153,1)="IMDG",),AND(INDEX(OHZ_HAZ_IMOHAZARDC,153,1)&lt;&gt;"",INDEX(OHZ_HAZ_UNNUMBER,153,1)&lt;&gt;""),TRUE)</f>
        <v>1</v>
      </c>
      <c r="K1410" s="52" t="str">
        <f t="shared" si="46"/>
        <v>Row 153 - If ‘DG classification’ is ‘IMDG’ the ‘IMO Hazard Class’ and ‘UN Number’ is mandatory</v>
      </c>
    </row>
    <row r="1411" spans="7:11">
      <c r="G1411" s="250" t="b">
        <f>IF(OR(INDEX(IHZ_HAZ_DGCLASSIFI,154,1)="IMDG",),AND(INDEX(IHZ_HAZ_IMOHAZARDC,154,1)&lt;&gt;"",INDEX(IHZ_HAZ_UNNUMBER,154,1)&lt;&gt;""),TRUE)</f>
        <v>1</v>
      </c>
      <c r="H1411" s="52" t="str">
        <f t="shared" si="45"/>
        <v>Row 154 - If ‘DG classification’ is ‘IMDG’ the ‘IMO Hazard Class’ and ‘UN Number’ is mandatory</v>
      </c>
      <c r="J1411" s="52" t="b">
        <f>IF(OR(INDEX(OHZ_HAZ_DGCLASSIFI,154,1)="IMDG",),AND(INDEX(OHZ_HAZ_IMOHAZARDC,154,1)&lt;&gt;"",INDEX(OHZ_HAZ_UNNUMBER,154,1)&lt;&gt;""),TRUE)</f>
        <v>1</v>
      </c>
      <c r="K1411" s="52" t="str">
        <f t="shared" si="46"/>
        <v>Row 154 - If ‘DG classification’ is ‘IMDG’ the ‘IMO Hazard Class’ and ‘UN Number’ is mandatory</v>
      </c>
    </row>
    <row r="1412" spans="7:11">
      <c r="G1412" s="250" t="b">
        <f>IF(OR(INDEX(IHZ_HAZ_DGCLASSIFI,155,1)="IMDG",),AND(INDEX(IHZ_HAZ_IMOHAZARDC,155,1)&lt;&gt;"",INDEX(IHZ_HAZ_UNNUMBER,155,1)&lt;&gt;""),TRUE)</f>
        <v>1</v>
      </c>
      <c r="H1412" s="52" t="str">
        <f t="shared" si="45"/>
        <v>Row 155 - If ‘DG classification’ is ‘IMDG’ the ‘IMO Hazard Class’ and ‘UN Number’ is mandatory</v>
      </c>
      <c r="J1412" s="52" t="b">
        <f>IF(OR(INDEX(OHZ_HAZ_DGCLASSIFI,155,1)="IMDG",),AND(INDEX(OHZ_HAZ_IMOHAZARDC,155,1)&lt;&gt;"",INDEX(OHZ_HAZ_UNNUMBER,155,1)&lt;&gt;""),TRUE)</f>
        <v>1</v>
      </c>
      <c r="K1412" s="52" t="str">
        <f t="shared" si="46"/>
        <v>Row 155 - If ‘DG classification’ is ‘IMDG’ the ‘IMO Hazard Class’ and ‘UN Number’ is mandatory</v>
      </c>
    </row>
    <row r="1413" spans="7:11">
      <c r="G1413" s="250" t="b">
        <f>IF(OR(INDEX(IHZ_HAZ_DGCLASSIFI,156,1)="IMDG",),AND(INDEX(IHZ_HAZ_IMOHAZARDC,156,1)&lt;&gt;"",INDEX(IHZ_HAZ_UNNUMBER,156,1)&lt;&gt;""),TRUE)</f>
        <v>1</v>
      </c>
      <c r="H1413" s="52" t="str">
        <f t="shared" si="45"/>
        <v>Row 156 - If ‘DG classification’ is ‘IMDG’ the ‘IMO Hazard Class’ and ‘UN Number’ is mandatory</v>
      </c>
      <c r="J1413" s="52" t="b">
        <f>IF(OR(INDEX(OHZ_HAZ_DGCLASSIFI,156,1)="IMDG",),AND(INDEX(OHZ_HAZ_IMOHAZARDC,156,1)&lt;&gt;"",INDEX(OHZ_HAZ_UNNUMBER,156,1)&lt;&gt;""),TRUE)</f>
        <v>1</v>
      </c>
      <c r="K1413" s="52" t="str">
        <f t="shared" si="46"/>
        <v>Row 156 - If ‘DG classification’ is ‘IMDG’ the ‘IMO Hazard Class’ and ‘UN Number’ is mandatory</v>
      </c>
    </row>
    <row r="1414" spans="7:11">
      <c r="G1414" s="250" t="b">
        <f>IF(OR(INDEX(IHZ_HAZ_DGCLASSIFI,157,1)="IMDG",),AND(INDEX(IHZ_HAZ_IMOHAZARDC,157,1)&lt;&gt;"",INDEX(IHZ_HAZ_UNNUMBER,157,1)&lt;&gt;""),TRUE)</f>
        <v>1</v>
      </c>
      <c r="H1414" s="52" t="str">
        <f t="shared" si="45"/>
        <v>Row 157 - If ‘DG classification’ is ‘IMDG’ the ‘IMO Hazard Class’ and ‘UN Number’ is mandatory</v>
      </c>
      <c r="J1414" s="52" t="b">
        <f>IF(OR(INDEX(OHZ_HAZ_DGCLASSIFI,157,1)="IMDG",),AND(INDEX(OHZ_HAZ_IMOHAZARDC,157,1)&lt;&gt;"",INDEX(OHZ_HAZ_UNNUMBER,157,1)&lt;&gt;""),TRUE)</f>
        <v>1</v>
      </c>
      <c r="K1414" s="52" t="str">
        <f t="shared" si="46"/>
        <v>Row 157 - If ‘DG classification’ is ‘IMDG’ the ‘IMO Hazard Class’ and ‘UN Number’ is mandatory</v>
      </c>
    </row>
    <row r="1415" spans="7:11">
      <c r="G1415" s="250" t="b">
        <f>IF(OR(INDEX(IHZ_HAZ_DGCLASSIFI,158,1)="IMDG",),AND(INDEX(IHZ_HAZ_IMOHAZARDC,158,1)&lt;&gt;"",INDEX(IHZ_HAZ_UNNUMBER,158,1)&lt;&gt;""),TRUE)</f>
        <v>1</v>
      </c>
      <c r="H1415" s="52" t="str">
        <f t="shared" si="45"/>
        <v>Row 158 - If ‘DG classification’ is ‘IMDG’ the ‘IMO Hazard Class’ and ‘UN Number’ is mandatory</v>
      </c>
      <c r="J1415" s="52" t="b">
        <f>IF(OR(INDEX(OHZ_HAZ_DGCLASSIFI,158,1)="IMDG",),AND(INDEX(OHZ_HAZ_IMOHAZARDC,158,1)&lt;&gt;"",INDEX(OHZ_HAZ_UNNUMBER,158,1)&lt;&gt;""),TRUE)</f>
        <v>1</v>
      </c>
      <c r="K1415" s="52" t="str">
        <f t="shared" si="46"/>
        <v>Row 158 - If ‘DG classification’ is ‘IMDG’ the ‘IMO Hazard Class’ and ‘UN Number’ is mandatory</v>
      </c>
    </row>
    <row r="1416" spans="7:11">
      <c r="G1416" s="250" t="b">
        <f>IF(OR(INDEX(IHZ_HAZ_DGCLASSIFI,159,1)="IMDG",),AND(INDEX(IHZ_HAZ_IMOHAZARDC,159,1)&lt;&gt;"",INDEX(IHZ_HAZ_UNNUMBER,159,1)&lt;&gt;""),TRUE)</f>
        <v>1</v>
      </c>
      <c r="H1416" s="52" t="str">
        <f t="shared" si="45"/>
        <v>Row 159 - If ‘DG classification’ is ‘IMDG’ the ‘IMO Hazard Class’ and ‘UN Number’ is mandatory</v>
      </c>
      <c r="J1416" s="52" t="b">
        <f>IF(OR(INDEX(OHZ_HAZ_DGCLASSIFI,159,1)="IMDG",),AND(INDEX(OHZ_HAZ_IMOHAZARDC,159,1)&lt;&gt;"",INDEX(OHZ_HAZ_UNNUMBER,159,1)&lt;&gt;""),TRUE)</f>
        <v>1</v>
      </c>
      <c r="K1416" s="52" t="str">
        <f t="shared" si="46"/>
        <v>Row 159 - If ‘DG classification’ is ‘IMDG’ the ‘IMO Hazard Class’ and ‘UN Number’ is mandatory</v>
      </c>
    </row>
    <row r="1417" spans="7:11">
      <c r="G1417" s="250" t="b">
        <f>IF(OR(INDEX(IHZ_HAZ_DGCLASSIFI,160,1)="IMDG",),AND(INDEX(IHZ_HAZ_IMOHAZARDC,160,1)&lt;&gt;"",INDEX(IHZ_HAZ_UNNUMBER,160,1)&lt;&gt;""),TRUE)</f>
        <v>1</v>
      </c>
      <c r="H1417" s="52" t="str">
        <f t="shared" si="45"/>
        <v>Row 160 - If ‘DG classification’ is ‘IMDG’ the ‘IMO Hazard Class’ and ‘UN Number’ is mandatory</v>
      </c>
      <c r="J1417" s="52" t="b">
        <f>IF(OR(INDEX(OHZ_HAZ_DGCLASSIFI,160,1)="IMDG",),AND(INDEX(OHZ_HAZ_IMOHAZARDC,160,1)&lt;&gt;"",INDEX(OHZ_HAZ_UNNUMBER,160,1)&lt;&gt;""),TRUE)</f>
        <v>1</v>
      </c>
      <c r="K1417" s="52" t="str">
        <f t="shared" si="46"/>
        <v>Row 160 - If ‘DG classification’ is ‘IMDG’ the ‘IMO Hazard Class’ and ‘UN Number’ is mandatory</v>
      </c>
    </row>
    <row r="1418" spans="7:11">
      <c r="G1418" s="250" t="b">
        <f>IF(OR(INDEX(IHZ_HAZ_DGCLASSIFI,161,1)="IMDG",),AND(INDEX(IHZ_HAZ_IMOHAZARDC,161,1)&lt;&gt;"",INDEX(IHZ_HAZ_UNNUMBER,161,1)&lt;&gt;""),TRUE)</f>
        <v>1</v>
      </c>
      <c r="H1418" s="52" t="str">
        <f t="shared" si="45"/>
        <v>Row 161 - If ‘DG classification’ is ‘IMDG’ the ‘IMO Hazard Class’ and ‘UN Number’ is mandatory</v>
      </c>
      <c r="J1418" s="52" t="b">
        <f>IF(OR(INDEX(OHZ_HAZ_DGCLASSIFI,161,1)="IMDG",),AND(INDEX(OHZ_HAZ_IMOHAZARDC,161,1)&lt;&gt;"",INDEX(OHZ_HAZ_UNNUMBER,161,1)&lt;&gt;""),TRUE)</f>
        <v>1</v>
      </c>
      <c r="K1418" s="52" t="str">
        <f t="shared" si="46"/>
        <v>Row 161 - If ‘DG classification’ is ‘IMDG’ the ‘IMO Hazard Class’ and ‘UN Number’ is mandatory</v>
      </c>
    </row>
    <row r="1419" spans="7:11">
      <c r="G1419" s="250" t="b">
        <f>IF(OR(INDEX(IHZ_HAZ_DGCLASSIFI,162,1)="IMDG",),AND(INDEX(IHZ_HAZ_IMOHAZARDC,162,1)&lt;&gt;"",INDEX(IHZ_HAZ_UNNUMBER,162,1)&lt;&gt;""),TRUE)</f>
        <v>1</v>
      </c>
      <c r="H1419" s="52" t="str">
        <f t="shared" si="45"/>
        <v>Row 162 - If ‘DG classification’ is ‘IMDG’ the ‘IMO Hazard Class’ and ‘UN Number’ is mandatory</v>
      </c>
      <c r="J1419" s="52" t="b">
        <f>IF(OR(INDEX(OHZ_HAZ_DGCLASSIFI,162,1)="IMDG",),AND(INDEX(OHZ_HAZ_IMOHAZARDC,162,1)&lt;&gt;"",INDEX(OHZ_HAZ_UNNUMBER,162,1)&lt;&gt;""),TRUE)</f>
        <v>1</v>
      </c>
      <c r="K1419" s="52" t="str">
        <f t="shared" si="46"/>
        <v>Row 162 - If ‘DG classification’ is ‘IMDG’ the ‘IMO Hazard Class’ and ‘UN Number’ is mandatory</v>
      </c>
    </row>
    <row r="1420" spans="7:11">
      <c r="G1420" s="250" t="b">
        <f>IF(OR(INDEX(IHZ_HAZ_DGCLASSIFI,163,1)="IMDG",),AND(INDEX(IHZ_HAZ_IMOHAZARDC,163,1)&lt;&gt;"",INDEX(IHZ_HAZ_UNNUMBER,163,1)&lt;&gt;""),TRUE)</f>
        <v>1</v>
      </c>
      <c r="H1420" s="52" t="str">
        <f t="shared" si="45"/>
        <v>Row 163 - If ‘DG classification’ is ‘IMDG’ the ‘IMO Hazard Class’ and ‘UN Number’ is mandatory</v>
      </c>
      <c r="J1420" s="52" t="b">
        <f>IF(OR(INDEX(OHZ_HAZ_DGCLASSIFI,163,1)="IMDG",),AND(INDEX(OHZ_HAZ_IMOHAZARDC,163,1)&lt;&gt;"",INDEX(OHZ_HAZ_UNNUMBER,163,1)&lt;&gt;""),TRUE)</f>
        <v>1</v>
      </c>
      <c r="K1420" s="52" t="str">
        <f t="shared" si="46"/>
        <v>Row 163 - If ‘DG classification’ is ‘IMDG’ the ‘IMO Hazard Class’ and ‘UN Number’ is mandatory</v>
      </c>
    </row>
    <row r="1421" spans="7:11">
      <c r="G1421" s="250" t="b">
        <f>IF(OR(INDEX(IHZ_HAZ_DGCLASSIFI,164,1)="IMDG",),AND(INDEX(IHZ_HAZ_IMOHAZARDC,164,1)&lt;&gt;"",INDEX(IHZ_HAZ_UNNUMBER,164,1)&lt;&gt;""),TRUE)</f>
        <v>1</v>
      </c>
      <c r="H1421" s="52" t="str">
        <f t="shared" si="45"/>
        <v>Row 164 - If ‘DG classification’ is ‘IMDG’ the ‘IMO Hazard Class’ and ‘UN Number’ is mandatory</v>
      </c>
      <c r="J1421" s="52" t="b">
        <f>IF(OR(INDEX(OHZ_HAZ_DGCLASSIFI,164,1)="IMDG",),AND(INDEX(OHZ_HAZ_IMOHAZARDC,164,1)&lt;&gt;"",INDEX(OHZ_HAZ_UNNUMBER,164,1)&lt;&gt;""),TRUE)</f>
        <v>1</v>
      </c>
      <c r="K1421" s="52" t="str">
        <f t="shared" si="46"/>
        <v>Row 164 - If ‘DG classification’ is ‘IMDG’ the ‘IMO Hazard Class’ and ‘UN Number’ is mandatory</v>
      </c>
    </row>
    <row r="1422" spans="7:11">
      <c r="G1422" s="250" t="b">
        <f>IF(OR(INDEX(IHZ_HAZ_DGCLASSIFI,165,1)="IMDG",),AND(INDEX(IHZ_HAZ_IMOHAZARDC,165,1)&lt;&gt;"",INDEX(IHZ_HAZ_UNNUMBER,165,1)&lt;&gt;""),TRUE)</f>
        <v>1</v>
      </c>
      <c r="H1422" s="52" t="str">
        <f t="shared" si="45"/>
        <v>Row 165 - If ‘DG classification’ is ‘IMDG’ the ‘IMO Hazard Class’ and ‘UN Number’ is mandatory</v>
      </c>
      <c r="J1422" s="52" t="b">
        <f>IF(OR(INDEX(OHZ_HAZ_DGCLASSIFI,165,1)="IMDG",),AND(INDEX(OHZ_HAZ_IMOHAZARDC,165,1)&lt;&gt;"",INDEX(OHZ_HAZ_UNNUMBER,165,1)&lt;&gt;""),TRUE)</f>
        <v>1</v>
      </c>
      <c r="K1422" s="52" t="str">
        <f t="shared" si="46"/>
        <v>Row 165 - If ‘DG classification’ is ‘IMDG’ the ‘IMO Hazard Class’ and ‘UN Number’ is mandatory</v>
      </c>
    </row>
    <row r="1423" spans="7:11">
      <c r="G1423" s="250" t="b">
        <f>IF(OR(INDEX(IHZ_HAZ_DGCLASSIFI,166,1)="IMDG",),AND(INDEX(IHZ_HAZ_IMOHAZARDC,166,1)&lt;&gt;"",INDEX(IHZ_HAZ_UNNUMBER,166,1)&lt;&gt;""),TRUE)</f>
        <v>1</v>
      </c>
      <c r="H1423" s="52" t="str">
        <f t="shared" si="45"/>
        <v>Row 166 - If ‘DG classification’ is ‘IMDG’ the ‘IMO Hazard Class’ and ‘UN Number’ is mandatory</v>
      </c>
      <c r="J1423" s="52" t="b">
        <f>IF(OR(INDEX(OHZ_HAZ_DGCLASSIFI,166,1)="IMDG",),AND(INDEX(OHZ_HAZ_IMOHAZARDC,166,1)&lt;&gt;"",INDEX(OHZ_HAZ_UNNUMBER,166,1)&lt;&gt;""),TRUE)</f>
        <v>1</v>
      </c>
      <c r="K1423" s="52" t="str">
        <f t="shared" si="46"/>
        <v>Row 166 - If ‘DG classification’ is ‘IMDG’ the ‘IMO Hazard Class’ and ‘UN Number’ is mandatory</v>
      </c>
    </row>
    <row r="1424" spans="7:11">
      <c r="G1424" s="250" t="b">
        <f>IF(OR(INDEX(IHZ_HAZ_DGCLASSIFI,167,1)="IMDG",),AND(INDEX(IHZ_HAZ_IMOHAZARDC,167,1)&lt;&gt;"",INDEX(IHZ_HAZ_UNNUMBER,167,1)&lt;&gt;""),TRUE)</f>
        <v>1</v>
      </c>
      <c r="H1424" s="52" t="str">
        <f t="shared" si="45"/>
        <v>Row 167 - If ‘DG classification’ is ‘IMDG’ the ‘IMO Hazard Class’ and ‘UN Number’ is mandatory</v>
      </c>
      <c r="J1424" s="52" t="b">
        <f>IF(OR(INDEX(OHZ_HAZ_DGCLASSIFI,167,1)="IMDG",),AND(INDEX(OHZ_HAZ_IMOHAZARDC,167,1)&lt;&gt;"",INDEX(OHZ_HAZ_UNNUMBER,167,1)&lt;&gt;""),TRUE)</f>
        <v>1</v>
      </c>
      <c r="K1424" s="52" t="str">
        <f t="shared" si="46"/>
        <v>Row 167 - If ‘DG classification’ is ‘IMDG’ the ‘IMO Hazard Class’ and ‘UN Number’ is mandatory</v>
      </c>
    </row>
    <row r="1425" spans="7:11">
      <c r="G1425" s="250" t="b">
        <f>IF(OR(INDEX(IHZ_HAZ_DGCLASSIFI,168,1)="IMDG",),AND(INDEX(IHZ_HAZ_IMOHAZARDC,168,1)&lt;&gt;"",INDEX(IHZ_HAZ_UNNUMBER,168,1)&lt;&gt;""),TRUE)</f>
        <v>1</v>
      </c>
      <c r="H1425" s="52" t="str">
        <f t="shared" si="45"/>
        <v>Row 168 - If ‘DG classification’ is ‘IMDG’ the ‘IMO Hazard Class’ and ‘UN Number’ is mandatory</v>
      </c>
      <c r="J1425" s="52" t="b">
        <f>IF(OR(INDEX(OHZ_HAZ_DGCLASSIFI,168,1)="IMDG",),AND(INDEX(OHZ_HAZ_IMOHAZARDC,168,1)&lt;&gt;"",INDEX(OHZ_HAZ_UNNUMBER,168,1)&lt;&gt;""),TRUE)</f>
        <v>1</v>
      </c>
      <c r="K1425" s="52" t="str">
        <f t="shared" si="46"/>
        <v>Row 168 - If ‘DG classification’ is ‘IMDG’ the ‘IMO Hazard Class’ and ‘UN Number’ is mandatory</v>
      </c>
    </row>
    <row r="1426" spans="7:11">
      <c r="G1426" s="250" t="b">
        <f>IF(OR(INDEX(IHZ_HAZ_DGCLASSIFI,169,1)="IMDG",),AND(INDEX(IHZ_HAZ_IMOHAZARDC,169,1)&lt;&gt;"",INDEX(IHZ_HAZ_UNNUMBER,169,1)&lt;&gt;""),TRUE)</f>
        <v>1</v>
      </c>
      <c r="H1426" s="52" t="str">
        <f t="shared" si="45"/>
        <v>Row 169 - If ‘DG classification’ is ‘IMDG’ the ‘IMO Hazard Class’ and ‘UN Number’ is mandatory</v>
      </c>
      <c r="J1426" s="52" t="b">
        <f>IF(OR(INDEX(OHZ_HAZ_DGCLASSIFI,169,1)="IMDG",),AND(INDEX(OHZ_HAZ_IMOHAZARDC,169,1)&lt;&gt;"",INDEX(OHZ_HAZ_UNNUMBER,169,1)&lt;&gt;""),TRUE)</f>
        <v>1</v>
      </c>
      <c r="K1426" s="52" t="str">
        <f t="shared" si="46"/>
        <v>Row 169 - If ‘DG classification’ is ‘IMDG’ the ‘IMO Hazard Class’ and ‘UN Number’ is mandatory</v>
      </c>
    </row>
    <row r="1427" spans="7:11">
      <c r="G1427" s="250" t="b">
        <f>IF(OR(INDEX(IHZ_HAZ_DGCLASSIFI,170,1)="IMDG",),AND(INDEX(IHZ_HAZ_IMOHAZARDC,170,1)&lt;&gt;"",INDEX(IHZ_HAZ_UNNUMBER,170,1)&lt;&gt;""),TRUE)</f>
        <v>1</v>
      </c>
      <c r="H1427" s="52" t="str">
        <f t="shared" si="45"/>
        <v>Row 170 - If ‘DG classification’ is ‘IMDG’ the ‘IMO Hazard Class’ and ‘UN Number’ is mandatory</v>
      </c>
      <c r="J1427" s="52" t="b">
        <f>IF(OR(INDEX(OHZ_HAZ_DGCLASSIFI,170,1)="IMDG",),AND(INDEX(OHZ_HAZ_IMOHAZARDC,170,1)&lt;&gt;"",INDEX(OHZ_HAZ_UNNUMBER,170,1)&lt;&gt;""),TRUE)</f>
        <v>1</v>
      </c>
      <c r="K1427" s="52" t="str">
        <f t="shared" si="46"/>
        <v>Row 170 - If ‘DG classification’ is ‘IMDG’ the ‘IMO Hazard Class’ and ‘UN Number’ is mandatory</v>
      </c>
    </row>
    <row r="1428" spans="7:11">
      <c r="G1428" s="250" t="b">
        <f>IF(OR(INDEX(IHZ_HAZ_DGCLASSIFI,171,1)="IMDG",),AND(INDEX(IHZ_HAZ_IMOHAZARDC,171,1)&lt;&gt;"",INDEX(IHZ_HAZ_UNNUMBER,171,1)&lt;&gt;""),TRUE)</f>
        <v>1</v>
      </c>
      <c r="H1428" s="52" t="str">
        <f t="shared" si="45"/>
        <v>Row 171 - If ‘DG classification’ is ‘IMDG’ the ‘IMO Hazard Class’ and ‘UN Number’ is mandatory</v>
      </c>
      <c r="J1428" s="52" t="b">
        <f>IF(OR(INDEX(OHZ_HAZ_DGCLASSIFI,171,1)="IMDG",),AND(INDEX(OHZ_HAZ_IMOHAZARDC,171,1)&lt;&gt;"",INDEX(OHZ_HAZ_UNNUMBER,171,1)&lt;&gt;""),TRUE)</f>
        <v>1</v>
      </c>
      <c r="K1428" s="52" t="str">
        <f t="shared" si="46"/>
        <v>Row 171 - If ‘DG classification’ is ‘IMDG’ the ‘IMO Hazard Class’ and ‘UN Number’ is mandatory</v>
      </c>
    </row>
    <row r="1429" spans="7:11">
      <c r="G1429" s="250" t="b">
        <f>IF(OR(INDEX(IHZ_HAZ_DGCLASSIFI,172,1)="IMDG",),AND(INDEX(IHZ_HAZ_IMOHAZARDC,172,1)&lt;&gt;"",INDEX(IHZ_HAZ_UNNUMBER,172,1)&lt;&gt;""),TRUE)</f>
        <v>1</v>
      </c>
      <c r="H1429" s="52" t="str">
        <f t="shared" si="45"/>
        <v>Row 172 - If ‘DG classification’ is ‘IMDG’ the ‘IMO Hazard Class’ and ‘UN Number’ is mandatory</v>
      </c>
      <c r="J1429" s="52" t="b">
        <f>IF(OR(INDEX(OHZ_HAZ_DGCLASSIFI,172,1)="IMDG",),AND(INDEX(OHZ_HAZ_IMOHAZARDC,172,1)&lt;&gt;"",INDEX(OHZ_HAZ_UNNUMBER,172,1)&lt;&gt;""),TRUE)</f>
        <v>1</v>
      </c>
      <c r="K1429" s="52" t="str">
        <f t="shared" si="46"/>
        <v>Row 172 - If ‘DG classification’ is ‘IMDG’ the ‘IMO Hazard Class’ and ‘UN Number’ is mandatory</v>
      </c>
    </row>
    <row r="1430" spans="7:11">
      <c r="G1430" s="250" t="b">
        <f>IF(OR(INDEX(IHZ_HAZ_DGCLASSIFI,173,1)="IMDG",),AND(INDEX(IHZ_HAZ_IMOHAZARDC,173,1)&lt;&gt;"",INDEX(IHZ_HAZ_UNNUMBER,173,1)&lt;&gt;""),TRUE)</f>
        <v>1</v>
      </c>
      <c r="H1430" s="52" t="str">
        <f t="shared" si="45"/>
        <v>Row 173 - If ‘DG classification’ is ‘IMDG’ the ‘IMO Hazard Class’ and ‘UN Number’ is mandatory</v>
      </c>
      <c r="J1430" s="52" t="b">
        <f>IF(OR(INDEX(OHZ_HAZ_DGCLASSIFI,173,1)="IMDG",),AND(INDEX(OHZ_HAZ_IMOHAZARDC,173,1)&lt;&gt;"",INDEX(OHZ_HAZ_UNNUMBER,173,1)&lt;&gt;""),TRUE)</f>
        <v>1</v>
      </c>
      <c r="K1430" s="52" t="str">
        <f t="shared" si="46"/>
        <v>Row 173 - If ‘DG classification’ is ‘IMDG’ the ‘IMO Hazard Class’ and ‘UN Number’ is mandatory</v>
      </c>
    </row>
    <row r="1431" spans="7:11">
      <c r="G1431" s="250" t="b">
        <f>IF(OR(INDEX(IHZ_HAZ_DGCLASSIFI,174,1)="IMDG",),AND(INDEX(IHZ_HAZ_IMOHAZARDC,174,1)&lt;&gt;"",INDEX(IHZ_HAZ_UNNUMBER,174,1)&lt;&gt;""),TRUE)</f>
        <v>1</v>
      </c>
      <c r="H1431" s="52" t="str">
        <f t="shared" si="45"/>
        <v>Row 174 - If ‘DG classification’ is ‘IMDG’ the ‘IMO Hazard Class’ and ‘UN Number’ is mandatory</v>
      </c>
      <c r="J1431" s="52" t="b">
        <f>IF(OR(INDEX(OHZ_HAZ_DGCLASSIFI,174,1)="IMDG",),AND(INDEX(OHZ_HAZ_IMOHAZARDC,174,1)&lt;&gt;"",INDEX(OHZ_HAZ_UNNUMBER,174,1)&lt;&gt;""),TRUE)</f>
        <v>1</v>
      </c>
      <c r="K1431" s="52" t="str">
        <f t="shared" si="46"/>
        <v>Row 174 - If ‘DG classification’ is ‘IMDG’ the ‘IMO Hazard Class’ and ‘UN Number’ is mandatory</v>
      </c>
    </row>
    <row r="1432" spans="7:11">
      <c r="G1432" s="250" t="b">
        <f>IF(OR(INDEX(IHZ_HAZ_DGCLASSIFI,175,1)="IMDG",),AND(INDEX(IHZ_HAZ_IMOHAZARDC,175,1)&lt;&gt;"",INDEX(IHZ_HAZ_UNNUMBER,175,1)&lt;&gt;""),TRUE)</f>
        <v>1</v>
      </c>
      <c r="H1432" s="52" t="str">
        <f t="shared" si="45"/>
        <v>Row 175 - If ‘DG classification’ is ‘IMDG’ the ‘IMO Hazard Class’ and ‘UN Number’ is mandatory</v>
      </c>
      <c r="J1432" s="52" t="b">
        <f>IF(OR(INDEX(OHZ_HAZ_DGCLASSIFI,175,1)="IMDG",),AND(INDEX(OHZ_HAZ_IMOHAZARDC,175,1)&lt;&gt;"",INDEX(OHZ_HAZ_UNNUMBER,175,1)&lt;&gt;""),TRUE)</f>
        <v>1</v>
      </c>
      <c r="K1432" s="52" t="str">
        <f t="shared" si="46"/>
        <v>Row 175 - If ‘DG classification’ is ‘IMDG’ the ‘IMO Hazard Class’ and ‘UN Number’ is mandatory</v>
      </c>
    </row>
    <row r="1433" spans="7:11">
      <c r="G1433" s="250" t="b">
        <f>IF(OR(INDEX(IHZ_HAZ_DGCLASSIFI,176,1)="IMDG",),AND(INDEX(IHZ_HAZ_IMOHAZARDC,176,1)&lt;&gt;"",INDEX(IHZ_HAZ_UNNUMBER,176,1)&lt;&gt;""),TRUE)</f>
        <v>1</v>
      </c>
      <c r="H1433" s="52" t="str">
        <f t="shared" si="45"/>
        <v>Row 176 - If ‘DG classification’ is ‘IMDG’ the ‘IMO Hazard Class’ and ‘UN Number’ is mandatory</v>
      </c>
      <c r="J1433" s="52" t="b">
        <f>IF(OR(INDEX(OHZ_HAZ_DGCLASSIFI,176,1)="IMDG",),AND(INDEX(OHZ_HAZ_IMOHAZARDC,176,1)&lt;&gt;"",INDEX(OHZ_HAZ_UNNUMBER,176,1)&lt;&gt;""),TRUE)</f>
        <v>1</v>
      </c>
      <c r="K1433" s="52" t="str">
        <f t="shared" si="46"/>
        <v>Row 176 - If ‘DG classification’ is ‘IMDG’ the ‘IMO Hazard Class’ and ‘UN Number’ is mandatory</v>
      </c>
    </row>
    <row r="1434" spans="7:11">
      <c r="G1434" s="250" t="b">
        <f>IF(OR(INDEX(IHZ_HAZ_DGCLASSIFI,177,1)="IMDG",),AND(INDEX(IHZ_HAZ_IMOHAZARDC,177,1)&lt;&gt;"",INDEX(IHZ_HAZ_UNNUMBER,177,1)&lt;&gt;""),TRUE)</f>
        <v>1</v>
      </c>
      <c r="H1434" s="52" t="str">
        <f t="shared" si="45"/>
        <v>Row 177 - If ‘DG classification’ is ‘IMDG’ the ‘IMO Hazard Class’ and ‘UN Number’ is mandatory</v>
      </c>
      <c r="J1434" s="52" t="b">
        <f>IF(OR(INDEX(OHZ_HAZ_DGCLASSIFI,177,1)="IMDG",),AND(INDEX(OHZ_HAZ_IMOHAZARDC,177,1)&lt;&gt;"",INDEX(OHZ_HAZ_UNNUMBER,177,1)&lt;&gt;""),TRUE)</f>
        <v>1</v>
      </c>
      <c r="K1434" s="52" t="str">
        <f t="shared" si="46"/>
        <v>Row 177 - If ‘DG classification’ is ‘IMDG’ the ‘IMO Hazard Class’ and ‘UN Number’ is mandatory</v>
      </c>
    </row>
    <row r="1435" spans="7:11">
      <c r="G1435" s="250" t="b">
        <f>IF(OR(INDEX(IHZ_HAZ_DGCLASSIFI,178,1)="IMDG",),AND(INDEX(IHZ_HAZ_IMOHAZARDC,178,1)&lt;&gt;"",INDEX(IHZ_HAZ_UNNUMBER,178,1)&lt;&gt;""),TRUE)</f>
        <v>1</v>
      </c>
      <c r="H1435" s="52" t="str">
        <f t="shared" si="45"/>
        <v>Row 178 - If ‘DG classification’ is ‘IMDG’ the ‘IMO Hazard Class’ and ‘UN Number’ is mandatory</v>
      </c>
      <c r="J1435" s="52" t="b">
        <f>IF(OR(INDEX(OHZ_HAZ_DGCLASSIFI,178,1)="IMDG",),AND(INDEX(OHZ_HAZ_IMOHAZARDC,178,1)&lt;&gt;"",INDEX(OHZ_HAZ_UNNUMBER,178,1)&lt;&gt;""),TRUE)</f>
        <v>1</v>
      </c>
      <c r="K1435" s="52" t="str">
        <f t="shared" si="46"/>
        <v>Row 178 - If ‘DG classification’ is ‘IMDG’ the ‘IMO Hazard Class’ and ‘UN Number’ is mandatory</v>
      </c>
    </row>
    <row r="1436" spans="7:11">
      <c r="G1436" s="250" t="b">
        <f>IF(OR(INDEX(IHZ_HAZ_DGCLASSIFI,179,1)="IMDG",),AND(INDEX(IHZ_HAZ_IMOHAZARDC,179,1)&lt;&gt;"",INDEX(IHZ_HAZ_UNNUMBER,179,1)&lt;&gt;""),TRUE)</f>
        <v>1</v>
      </c>
      <c r="H1436" s="52" t="str">
        <f t="shared" si="45"/>
        <v>Row 179 - If ‘DG classification’ is ‘IMDG’ the ‘IMO Hazard Class’ and ‘UN Number’ is mandatory</v>
      </c>
      <c r="J1436" s="52" t="b">
        <f>IF(OR(INDEX(OHZ_HAZ_DGCLASSIFI,179,1)="IMDG",),AND(INDEX(OHZ_HAZ_IMOHAZARDC,179,1)&lt;&gt;"",INDEX(OHZ_HAZ_UNNUMBER,179,1)&lt;&gt;""),TRUE)</f>
        <v>1</v>
      </c>
      <c r="K1436" s="52" t="str">
        <f t="shared" si="46"/>
        <v>Row 179 - If ‘DG classification’ is ‘IMDG’ the ‘IMO Hazard Class’ and ‘UN Number’ is mandatory</v>
      </c>
    </row>
    <row r="1437" spans="7:11">
      <c r="G1437" s="250" t="b">
        <f>IF(OR(INDEX(IHZ_HAZ_DGCLASSIFI,180,1)="IMDG",),AND(INDEX(IHZ_HAZ_IMOHAZARDC,180,1)&lt;&gt;"",INDEX(IHZ_HAZ_UNNUMBER,180,1)&lt;&gt;""),TRUE)</f>
        <v>1</v>
      </c>
      <c r="H1437" s="52" t="str">
        <f t="shared" si="45"/>
        <v>Row 180 - If ‘DG classification’ is ‘IMDG’ the ‘IMO Hazard Class’ and ‘UN Number’ is mandatory</v>
      </c>
      <c r="J1437" s="52" t="b">
        <f>IF(OR(INDEX(OHZ_HAZ_DGCLASSIFI,180,1)="IMDG",),AND(INDEX(OHZ_HAZ_IMOHAZARDC,180,1)&lt;&gt;"",INDEX(OHZ_HAZ_UNNUMBER,180,1)&lt;&gt;""),TRUE)</f>
        <v>1</v>
      </c>
      <c r="K1437" s="52" t="str">
        <f t="shared" si="46"/>
        <v>Row 180 - If ‘DG classification’ is ‘IMDG’ the ‘IMO Hazard Class’ and ‘UN Number’ is mandatory</v>
      </c>
    </row>
    <row r="1438" spans="7:11">
      <c r="G1438" s="250" t="b">
        <f>IF(OR(INDEX(IHZ_HAZ_DGCLASSIFI,181,1)="IMDG",),AND(INDEX(IHZ_HAZ_IMOHAZARDC,181,1)&lt;&gt;"",INDEX(IHZ_HAZ_UNNUMBER,181,1)&lt;&gt;""),TRUE)</f>
        <v>1</v>
      </c>
      <c r="H1438" s="52" t="str">
        <f t="shared" si="45"/>
        <v>Row 181 - If ‘DG classification’ is ‘IMDG’ the ‘IMO Hazard Class’ and ‘UN Number’ is mandatory</v>
      </c>
      <c r="J1438" s="52" t="b">
        <f>IF(OR(INDEX(OHZ_HAZ_DGCLASSIFI,181,1)="IMDG",),AND(INDEX(OHZ_HAZ_IMOHAZARDC,181,1)&lt;&gt;"",INDEX(OHZ_HAZ_UNNUMBER,181,1)&lt;&gt;""),TRUE)</f>
        <v>1</v>
      </c>
      <c r="K1438" s="52" t="str">
        <f t="shared" si="46"/>
        <v>Row 181 - If ‘DG classification’ is ‘IMDG’ the ‘IMO Hazard Class’ and ‘UN Number’ is mandatory</v>
      </c>
    </row>
    <row r="1439" spans="7:11">
      <c r="G1439" s="250" t="b">
        <f>IF(OR(INDEX(IHZ_HAZ_DGCLASSIFI,182,1)="IMDG",),AND(INDEX(IHZ_HAZ_IMOHAZARDC,182,1)&lt;&gt;"",INDEX(IHZ_HAZ_UNNUMBER,182,1)&lt;&gt;""),TRUE)</f>
        <v>1</v>
      </c>
      <c r="H1439" s="52" t="str">
        <f t="shared" si="45"/>
        <v>Row 182 - If ‘DG classification’ is ‘IMDG’ the ‘IMO Hazard Class’ and ‘UN Number’ is mandatory</v>
      </c>
      <c r="J1439" s="52" t="b">
        <f>IF(OR(INDEX(OHZ_HAZ_DGCLASSIFI,182,1)="IMDG",),AND(INDEX(OHZ_HAZ_IMOHAZARDC,182,1)&lt;&gt;"",INDEX(OHZ_HAZ_UNNUMBER,182,1)&lt;&gt;""),TRUE)</f>
        <v>1</v>
      </c>
      <c r="K1439" s="52" t="str">
        <f t="shared" si="46"/>
        <v>Row 182 - If ‘DG classification’ is ‘IMDG’ the ‘IMO Hazard Class’ and ‘UN Number’ is mandatory</v>
      </c>
    </row>
    <row r="1440" spans="7:11">
      <c r="G1440" s="250" t="b">
        <f>IF(OR(INDEX(IHZ_HAZ_DGCLASSIFI,183,1)="IMDG",),AND(INDEX(IHZ_HAZ_IMOHAZARDC,183,1)&lt;&gt;"",INDEX(IHZ_HAZ_UNNUMBER,183,1)&lt;&gt;""),TRUE)</f>
        <v>1</v>
      </c>
      <c r="H1440" s="52" t="str">
        <f t="shared" si="45"/>
        <v>Row 183 - If ‘DG classification’ is ‘IMDG’ the ‘IMO Hazard Class’ and ‘UN Number’ is mandatory</v>
      </c>
      <c r="J1440" s="52" t="b">
        <f>IF(OR(INDEX(OHZ_HAZ_DGCLASSIFI,183,1)="IMDG",),AND(INDEX(OHZ_HAZ_IMOHAZARDC,183,1)&lt;&gt;"",INDEX(OHZ_HAZ_UNNUMBER,183,1)&lt;&gt;""),TRUE)</f>
        <v>1</v>
      </c>
      <c r="K1440" s="52" t="str">
        <f t="shared" si="46"/>
        <v>Row 183 - If ‘DG classification’ is ‘IMDG’ the ‘IMO Hazard Class’ and ‘UN Number’ is mandatory</v>
      </c>
    </row>
    <row r="1441" spans="7:11">
      <c r="G1441" s="250" t="b">
        <f>IF(OR(INDEX(IHZ_HAZ_DGCLASSIFI,184,1)="IMDG",),AND(INDEX(IHZ_HAZ_IMOHAZARDC,184,1)&lt;&gt;"",INDEX(IHZ_HAZ_UNNUMBER,184,1)&lt;&gt;""),TRUE)</f>
        <v>1</v>
      </c>
      <c r="H1441" s="52" t="str">
        <f t="shared" si="45"/>
        <v>Row 184 - If ‘DG classification’ is ‘IMDG’ the ‘IMO Hazard Class’ and ‘UN Number’ is mandatory</v>
      </c>
      <c r="J1441" s="52" t="b">
        <f>IF(OR(INDEX(OHZ_HAZ_DGCLASSIFI,184,1)="IMDG",),AND(INDEX(OHZ_HAZ_IMOHAZARDC,184,1)&lt;&gt;"",INDEX(OHZ_HAZ_UNNUMBER,184,1)&lt;&gt;""),TRUE)</f>
        <v>1</v>
      </c>
      <c r="K1441" s="52" t="str">
        <f t="shared" si="46"/>
        <v>Row 184 - If ‘DG classification’ is ‘IMDG’ the ‘IMO Hazard Class’ and ‘UN Number’ is mandatory</v>
      </c>
    </row>
    <row r="1442" spans="7:11">
      <c r="G1442" s="250" t="b">
        <f>IF(OR(INDEX(IHZ_HAZ_DGCLASSIFI,185,1)="IMDG",),AND(INDEX(IHZ_HAZ_IMOHAZARDC,185,1)&lt;&gt;"",INDEX(IHZ_HAZ_UNNUMBER,185,1)&lt;&gt;""),TRUE)</f>
        <v>1</v>
      </c>
      <c r="H1442" s="52" t="str">
        <f t="shared" si="45"/>
        <v>Row 185 - If ‘DG classification’ is ‘IMDG’ the ‘IMO Hazard Class’ and ‘UN Number’ is mandatory</v>
      </c>
      <c r="J1442" s="52" t="b">
        <f>IF(OR(INDEX(OHZ_HAZ_DGCLASSIFI,185,1)="IMDG",),AND(INDEX(OHZ_HAZ_IMOHAZARDC,185,1)&lt;&gt;"",INDEX(OHZ_HAZ_UNNUMBER,185,1)&lt;&gt;""),TRUE)</f>
        <v>1</v>
      </c>
      <c r="K1442" s="52" t="str">
        <f t="shared" si="46"/>
        <v>Row 185 - If ‘DG classification’ is ‘IMDG’ the ‘IMO Hazard Class’ and ‘UN Number’ is mandatory</v>
      </c>
    </row>
    <row r="1443" spans="7:11">
      <c r="G1443" s="250" t="b">
        <f>IF(OR(INDEX(IHZ_HAZ_DGCLASSIFI,186,1)="IMDG",),AND(INDEX(IHZ_HAZ_IMOHAZARDC,186,1)&lt;&gt;"",INDEX(IHZ_HAZ_UNNUMBER,186,1)&lt;&gt;""),TRUE)</f>
        <v>1</v>
      </c>
      <c r="H1443" s="52" t="str">
        <f t="shared" si="45"/>
        <v>Row 186 - If ‘DG classification’ is ‘IMDG’ the ‘IMO Hazard Class’ and ‘UN Number’ is mandatory</v>
      </c>
      <c r="J1443" s="52" t="b">
        <f>IF(OR(INDEX(OHZ_HAZ_DGCLASSIFI,186,1)="IMDG",),AND(INDEX(OHZ_HAZ_IMOHAZARDC,186,1)&lt;&gt;"",INDEX(OHZ_HAZ_UNNUMBER,186,1)&lt;&gt;""),TRUE)</f>
        <v>1</v>
      </c>
      <c r="K1443" s="52" t="str">
        <f t="shared" si="46"/>
        <v>Row 186 - If ‘DG classification’ is ‘IMDG’ the ‘IMO Hazard Class’ and ‘UN Number’ is mandatory</v>
      </c>
    </row>
    <row r="1444" spans="7:11">
      <c r="G1444" s="250" t="b">
        <f>IF(OR(INDEX(IHZ_HAZ_DGCLASSIFI,187,1)="IMDG",),AND(INDEX(IHZ_HAZ_IMOHAZARDC,187,1)&lt;&gt;"",INDEX(IHZ_HAZ_UNNUMBER,187,1)&lt;&gt;""),TRUE)</f>
        <v>1</v>
      </c>
      <c r="H1444" s="52" t="str">
        <f t="shared" si="45"/>
        <v>Row 187 - If ‘DG classification’ is ‘IMDG’ the ‘IMO Hazard Class’ and ‘UN Number’ is mandatory</v>
      </c>
      <c r="J1444" s="52" t="b">
        <f>IF(OR(INDEX(OHZ_HAZ_DGCLASSIFI,187,1)="IMDG",),AND(INDEX(OHZ_HAZ_IMOHAZARDC,187,1)&lt;&gt;"",INDEX(OHZ_HAZ_UNNUMBER,187,1)&lt;&gt;""),TRUE)</f>
        <v>1</v>
      </c>
      <c r="K1444" s="52" t="str">
        <f t="shared" si="46"/>
        <v>Row 187 - If ‘DG classification’ is ‘IMDG’ the ‘IMO Hazard Class’ and ‘UN Number’ is mandatory</v>
      </c>
    </row>
    <row r="1445" spans="7:11">
      <c r="G1445" s="250" t="b">
        <f>IF(OR(INDEX(IHZ_HAZ_DGCLASSIFI,188,1)="IMDG",),AND(INDEX(IHZ_HAZ_IMOHAZARDC,188,1)&lt;&gt;"",INDEX(IHZ_HAZ_UNNUMBER,188,1)&lt;&gt;""),TRUE)</f>
        <v>1</v>
      </c>
      <c r="H1445" s="52" t="str">
        <f t="shared" si="45"/>
        <v>Row 188 - If ‘DG classification’ is ‘IMDG’ the ‘IMO Hazard Class’ and ‘UN Number’ is mandatory</v>
      </c>
      <c r="J1445" s="52" t="b">
        <f>IF(OR(INDEX(OHZ_HAZ_DGCLASSIFI,188,1)="IMDG",),AND(INDEX(OHZ_HAZ_IMOHAZARDC,188,1)&lt;&gt;"",INDEX(OHZ_HAZ_UNNUMBER,188,1)&lt;&gt;""),TRUE)</f>
        <v>1</v>
      </c>
      <c r="K1445" s="52" t="str">
        <f t="shared" si="46"/>
        <v>Row 188 - If ‘DG classification’ is ‘IMDG’ the ‘IMO Hazard Class’ and ‘UN Number’ is mandatory</v>
      </c>
    </row>
    <row r="1446" spans="7:11">
      <c r="G1446" s="250" t="b">
        <f>IF(OR(INDEX(IHZ_HAZ_DGCLASSIFI,189,1)="IMDG",),AND(INDEX(IHZ_HAZ_IMOHAZARDC,189,1)&lt;&gt;"",INDEX(IHZ_HAZ_UNNUMBER,189,1)&lt;&gt;""),TRUE)</f>
        <v>1</v>
      </c>
      <c r="H1446" s="52" t="str">
        <f t="shared" si="45"/>
        <v>Row 189 - If ‘DG classification’ is ‘IMDG’ the ‘IMO Hazard Class’ and ‘UN Number’ is mandatory</v>
      </c>
      <c r="J1446" s="52" t="b">
        <f>IF(OR(INDEX(OHZ_HAZ_DGCLASSIFI,189,1)="IMDG",),AND(INDEX(OHZ_HAZ_IMOHAZARDC,189,1)&lt;&gt;"",INDEX(OHZ_HAZ_UNNUMBER,189,1)&lt;&gt;""),TRUE)</f>
        <v>1</v>
      </c>
      <c r="K1446" s="52" t="str">
        <f t="shared" si="46"/>
        <v>Row 189 - If ‘DG classification’ is ‘IMDG’ the ‘IMO Hazard Class’ and ‘UN Number’ is mandatory</v>
      </c>
    </row>
    <row r="1447" spans="7:11">
      <c r="G1447" s="250" t="b">
        <f>IF(OR(INDEX(IHZ_HAZ_DGCLASSIFI,190,1)="IMDG",),AND(INDEX(IHZ_HAZ_IMOHAZARDC,190,1)&lt;&gt;"",INDEX(IHZ_HAZ_UNNUMBER,190,1)&lt;&gt;""),TRUE)</f>
        <v>1</v>
      </c>
      <c r="H1447" s="52" t="str">
        <f t="shared" si="45"/>
        <v>Row 190 - If ‘DG classification’ is ‘IMDG’ the ‘IMO Hazard Class’ and ‘UN Number’ is mandatory</v>
      </c>
      <c r="J1447" s="52" t="b">
        <f>IF(OR(INDEX(OHZ_HAZ_DGCLASSIFI,190,1)="IMDG",),AND(INDEX(OHZ_HAZ_IMOHAZARDC,190,1)&lt;&gt;"",INDEX(OHZ_HAZ_UNNUMBER,190,1)&lt;&gt;""),TRUE)</f>
        <v>1</v>
      </c>
      <c r="K1447" s="52" t="str">
        <f t="shared" si="46"/>
        <v>Row 190 - If ‘DG classification’ is ‘IMDG’ the ‘IMO Hazard Class’ and ‘UN Number’ is mandatory</v>
      </c>
    </row>
    <row r="1448" spans="7:11">
      <c r="G1448" s="250" t="b">
        <f>IF(OR(INDEX(IHZ_HAZ_DGCLASSIFI,191,1)="IMDG",),AND(INDEX(IHZ_HAZ_IMOHAZARDC,191,1)&lt;&gt;"",INDEX(IHZ_HAZ_UNNUMBER,191,1)&lt;&gt;""),TRUE)</f>
        <v>1</v>
      </c>
      <c r="H1448" s="52" t="str">
        <f t="shared" si="45"/>
        <v>Row 191 - If ‘DG classification’ is ‘IMDG’ the ‘IMO Hazard Class’ and ‘UN Number’ is mandatory</v>
      </c>
      <c r="J1448" s="52" t="b">
        <f>IF(OR(INDEX(OHZ_HAZ_DGCLASSIFI,191,1)="IMDG",),AND(INDEX(OHZ_HAZ_IMOHAZARDC,191,1)&lt;&gt;"",INDEX(OHZ_HAZ_UNNUMBER,191,1)&lt;&gt;""),TRUE)</f>
        <v>1</v>
      </c>
      <c r="K1448" s="52" t="str">
        <f t="shared" si="46"/>
        <v>Row 191 - If ‘DG classification’ is ‘IMDG’ the ‘IMO Hazard Class’ and ‘UN Number’ is mandatory</v>
      </c>
    </row>
    <row r="1449" spans="7:11">
      <c r="G1449" s="250" t="b">
        <f>IF(OR(INDEX(IHZ_HAZ_DGCLASSIFI,192,1)="IMDG",),AND(INDEX(IHZ_HAZ_IMOHAZARDC,192,1)&lt;&gt;"",INDEX(IHZ_HAZ_UNNUMBER,192,1)&lt;&gt;""),TRUE)</f>
        <v>1</v>
      </c>
      <c r="H1449" s="52" t="str">
        <f t="shared" si="45"/>
        <v>Row 192 - If ‘DG classification’ is ‘IMDG’ the ‘IMO Hazard Class’ and ‘UN Number’ is mandatory</v>
      </c>
      <c r="J1449" s="52" t="b">
        <f>IF(OR(INDEX(OHZ_HAZ_DGCLASSIFI,192,1)="IMDG",),AND(INDEX(OHZ_HAZ_IMOHAZARDC,192,1)&lt;&gt;"",INDEX(OHZ_HAZ_UNNUMBER,192,1)&lt;&gt;""),TRUE)</f>
        <v>1</v>
      </c>
      <c r="K1449" s="52" t="str">
        <f t="shared" si="46"/>
        <v>Row 192 - If ‘DG classification’ is ‘IMDG’ the ‘IMO Hazard Class’ and ‘UN Number’ is mandatory</v>
      </c>
    </row>
    <row r="1450" spans="7:11">
      <c r="G1450" s="250" t="b">
        <f>IF(OR(INDEX(IHZ_HAZ_DGCLASSIFI,193,1)="IMDG",),AND(INDEX(IHZ_HAZ_IMOHAZARDC,193,1)&lt;&gt;"",INDEX(IHZ_HAZ_UNNUMBER,193,1)&lt;&gt;""),TRUE)</f>
        <v>1</v>
      </c>
      <c r="H1450" s="52" t="str">
        <f t="shared" si="45"/>
        <v>Row 193 - If ‘DG classification’ is ‘IMDG’ the ‘IMO Hazard Class’ and ‘UN Number’ is mandatory</v>
      </c>
      <c r="J1450" s="52" t="b">
        <f>IF(OR(INDEX(OHZ_HAZ_DGCLASSIFI,193,1)="IMDG",),AND(INDEX(OHZ_HAZ_IMOHAZARDC,193,1)&lt;&gt;"",INDEX(OHZ_HAZ_UNNUMBER,193,1)&lt;&gt;""),TRUE)</f>
        <v>1</v>
      </c>
      <c r="K1450" s="52" t="str">
        <f t="shared" si="46"/>
        <v>Row 193 - If ‘DG classification’ is ‘IMDG’ the ‘IMO Hazard Class’ and ‘UN Number’ is mandatory</v>
      </c>
    </row>
    <row r="1451" spans="7:11">
      <c r="G1451" s="250" t="b">
        <f>IF(OR(INDEX(IHZ_HAZ_DGCLASSIFI,194,1)="IMDG",),AND(INDEX(IHZ_HAZ_IMOHAZARDC,194,1)&lt;&gt;"",INDEX(IHZ_HAZ_UNNUMBER,194,1)&lt;&gt;""),TRUE)</f>
        <v>1</v>
      </c>
      <c r="H1451" s="52" t="str">
        <f t="shared" ref="H1451:H1507" si="47">T194&amp;$V$6</f>
        <v>Row 194 - If ‘DG classification’ is ‘IMDG’ the ‘IMO Hazard Class’ and ‘UN Number’ is mandatory</v>
      </c>
      <c r="J1451" s="52" t="b">
        <f>IF(OR(INDEX(OHZ_HAZ_DGCLASSIFI,194,1)="IMDG",),AND(INDEX(OHZ_HAZ_IMOHAZARDC,194,1)&lt;&gt;"",INDEX(OHZ_HAZ_UNNUMBER,194,1)&lt;&gt;""),TRUE)</f>
        <v>1</v>
      </c>
      <c r="K1451" s="52" t="str">
        <f t="shared" ref="K1451:K1507" si="48">T194&amp;$V$6</f>
        <v>Row 194 - If ‘DG classification’ is ‘IMDG’ the ‘IMO Hazard Class’ and ‘UN Number’ is mandatory</v>
      </c>
    </row>
    <row r="1452" spans="7:11">
      <c r="G1452" s="250" t="b">
        <f>IF(OR(INDEX(IHZ_HAZ_DGCLASSIFI,195,1)="IMDG",),AND(INDEX(IHZ_HAZ_IMOHAZARDC,195,1)&lt;&gt;"",INDEX(IHZ_HAZ_UNNUMBER,195,1)&lt;&gt;""),TRUE)</f>
        <v>1</v>
      </c>
      <c r="H1452" s="52" t="str">
        <f t="shared" si="47"/>
        <v>Row 195 - If ‘DG classification’ is ‘IMDG’ the ‘IMO Hazard Class’ and ‘UN Number’ is mandatory</v>
      </c>
      <c r="J1452" s="52" t="b">
        <f>IF(OR(INDEX(OHZ_HAZ_DGCLASSIFI,195,1)="IMDG",),AND(INDEX(OHZ_HAZ_IMOHAZARDC,195,1)&lt;&gt;"",INDEX(OHZ_HAZ_UNNUMBER,195,1)&lt;&gt;""),TRUE)</f>
        <v>1</v>
      </c>
      <c r="K1452" s="52" t="str">
        <f t="shared" si="48"/>
        <v>Row 195 - If ‘DG classification’ is ‘IMDG’ the ‘IMO Hazard Class’ and ‘UN Number’ is mandatory</v>
      </c>
    </row>
    <row r="1453" spans="7:11">
      <c r="G1453" s="250" t="b">
        <f>IF(OR(INDEX(IHZ_HAZ_DGCLASSIFI,196,1)="IMDG",),AND(INDEX(IHZ_HAZ_IMOHAZARDC,196,1)&lt;&gt;"",INDEX(IHZ_HAZ_UNNUMBER,196,1)&lt;&gt;""),TRUE)</f>
        <v>1</v>
      </c>
      <c r="H1453" s="52" t="str">
        <f t="shared" si="47"/>
        <v>Row 196 - If ‘DG classification’ is ‘IMDG’ the ‘IMO Hazard Class’ and ‘UN Number’ is mandatory</v>
      </c>
      <c r="J1453" s="52" t="b">
        <f>IF(OR(INDEX(OHZ_HAZ_DGCLASSIFI,196,1)="IMDG",),AND(INDEX(OHZ_HAZ_IMOHAZARDC,196,1)&lt;&gt;"",INDEX(OHZ_HAZ_UNNUMBER,196,1)&lt;&gt;""),TRUE)</f>
        <v>1</v>
      </c>
      <c r="K1453" s="52" t="str">
        <f t="shared" si="48"/>
        <v>Row 196 - If ‘DG classification’ is ‘IMDG’ the ‘IMO Hazard Class’ and ‘UN Number’ is mandatory</v>
      </c>
    </row>
    <row r="1454" spans="7:11">
      <c r="G1454" s="250" t="b">
        <f>IF(OR(INDEX(IHZ_HAZ_DGCLASSIFI,197,1)="IMDG",),AND(INDEX(IHZ_HAZ_IMOHAZARDC,197,1)&lt;&gt;"",INDEX(IHZ_HAZ_UNNUMBER,197,1)&lt;&gt;""),TRUE)</f>
        <v>1</v>
      </c>
      <c r="H1454" s="52" t="str">
        <f t="shared" si="47"/>
        <v>Row 197 - If ‘DG classification’ is ‘IMDG’ the ‘IMO Hazard Class’ and ‘UN Number’ is mandatory</v>
      </c>
      <c r="J1454" s="52" t="b">
        <f>IF(OR(INDEX(OHZ_HAZ_DGCLASSIFI,197,1)="IMDG",),AND(INDEX(OHZ_HAZ_IMOHAZARDC,197,1)&lt;&gt;"",INDEX(OHZ_HAZ_UNNUMBER,197,1)&lt;&gt;""),TRUE)</f>
        <v>1</v>
      </c>
      <c r="K1454" s="52" t="str">
        <f t="shared" si="48"/>
        <v>Row 197 - If ‘DG classification’ is ‘IMDG’ the ‘IMO Hazard Class’ and ‘UN Number’ is mandatory</v>
      </c>
    </row>
    <row r="1455" spans="7:11">
      <c r="G1455" s="250" t="b">
        <f>IF(OR(INDEX(IHZ_HAZ_DGCLASSIFI,198,1)="IMDG",),AND(INDEX(IHZ_HAZ_IMOHAZARDC,198,1)&lt;&gt;"",INDEX(IHZ_HAZ_UNNUMBER,198,1)&lt;&gt;""),TRUE)</f>
        <v>1</v>
      </c>
      <c r="H1455" s="52" t="str">
        <f t="shared" si="47"/>
        <v>Row 198 - If ‘DG classification’ is ‘IMDG’ the ‘IMO Hazard Class’ and ‘UN Number’ is mandatory</v>
      </c>
      <c r="J1455" s="52" t="b">
        <f>IF(OR(INDEX(OHZ_HAZ_DGCLASSIFI,198,1)="IMDG",),AND(INDEX(OHZ_HAZ_IMOHAZARDC,198,1)&lt;&gt;"",INDEX(OHZ_HAZ_UNNUMBER,198,1)&lt;&gt;""),TRUE)</f>
        <v>1</v>
      </c>
      <c r="K1455" s="52" t="str">
        <f t="shared" si="48"/>
        <v>Row 198 - If ‘DG classification’ is ‘IMDG’ the ‘IMO Hazard Class’ and ‘UN Number’ is mandatory</v>
      </c>
    </row>
    <row r="1456" spans="7:11">
      <c r="G1456" s="250" t="b">
        <f>IF(OR(INDEX(IHZ_HAZ_DGCLASSIFI,199,1)="IMDG",),AND(INDEX(IHZ_HAZ_IMOHAZARDC,199,1)&lt;&gt;"",INDEX(IHZ_HAZ_UNNUMBER,199,1)&lt;&gt;""),TRUE)</f>
        <v>1</v>
      </c>
      <c r="H1456" s="52" t="str">
        <f t="shared" si="47"/>
        <v>Row 199 - If ‘DG classification’ is ‘IMDG’ the ‘IMO Hazard Class’ and ‘UN Number’ is mandatory</v>
      </c>
      <c r="J1456" s="52" t="b">
        <f>IF(OR(INDEX(OHZ_HAZ_DGCLASSIFI,199,1)="IMDG",),AND(INDEX(OHZ_HAZ_IMOHAZARDC,199,1)&lt;&gt;"",INDEX(OHZ_HAZ_UNNUMBER,199,1)&lt;&gt;""),TRUE)</f>
        <v>1</v>
      </c>
      <c r="K1456" s="52" t="str">
        <f t="shared" si="48"/>
        <v>Row 199 - If ‘DG classification’ is ‘IMDG’ the ‘IMO Hazard Class’ and ‘UN Number’ is mandatory</v>
      </c>
    </row>
    <row r="1457" spans="7:11">
      <c r="G1457" s="250" t="b">
        <f>IF(OR(INDEX(IHZ_HAZ_DGCLASSIFI,200,1)="IMDG",),AND(INDEX(IHZ_HAZ_IMOHAZARDC,200,1)&lt;&gt;"",INDEX(IHZ_HAZ_UNNUMBER,200,1)&lt;&gt;""),TRUE)</f>
        <v>1</v>
      </c>
      <c r="H1457" s="52" t="str">
        <f t="shared" si="47"/>
        <v>Row 200 - If ‘DG classification’ is ‘IMDG’ the ‘IMO Hazard Class’ and ‘UN Number’ is mandatory</v>
      </c>
      <c r="J1457" s="52" t="b">
        <f>IF(OR(INDEX(OHZ_HAZ_DGCLASSIFI,200,1)="IMDG",),AND(INDEX(OHZ_HAZ_IMOHAZARDC,200,1)&lt;&gt;"",INDEX(OHZ_HAZ_UNNUMBER,200,1)&lt;&gt;""),TRUE)</f>
        <v>1</v>
      </c>
      <c r="K1457" s="52" t="str">
        <f t="shared" si="48"/>
        <v>Row 200 - If ‘DG classification’ is ‘IMDG’ the ‘IMO Hazard Class’ and ‘UN Number’ is mandatory</v>
      </c>
    </row>
    <row r="1458" spans="7:11">
      <c r="G1458" s="250" t="b">
        <f>IF(OR(INDEX(IHZ_HAZ_DGCLASSIFI,201,1)="IMDG",),AND(INDEX(IHZ_HAZ_IMOHAZARDC,201,1)&lt;&gt;"",INDEX(IHZ_HAZ_UNNUMBER,201,1)&lt;&gt;""),TRUE)</f>
        <v>1</v>
      </c>
      <c r="H1458" s="52" t="str">
        <f t="shared" si="47"/>
        <v>Row 201 - If ‘DG classification’ is ‘IMDG’ the ‘IMO Hazard Class’ and ‘UN Number’ is mandatory</v>
      </c>
      <c r="J1458" s="52" t="b">
        <f>IF(OR(INDEX(OHZ_HAZ_DGCLASSIFI,201,1)="IMDG",),AND(INDEX(OHZ_HAZ_IMOHAZARDC,201,1)&lt;&gt;"",INDEX(OHZ_HAZ_UNNUMBER,201,1)&lt;&gt;""),TRUE)</f>
        <v>1</v>
      </c>
      <c r="K1458" s="52" t="str">
        <f t="shared" si="48"/>
        <v>Row 201 - If ‘DG classification’ is ‘IMDG’ the ‘IMO Hazard Class’ and ‘UN Number’ is mandatory</v>
      </c>
    </row>
    <row r="1459" spans="7:11">
      <c r="G1459" s="250" t="b">
        <f>IF(OR(INDEX(IHZ_HAZ_DGCLASSIFI,202,1)="IMDG",),AND(INDEX(IHZ_HAZ_IMOHAZARDC,202,1)&lt;&gt;"",INDEX(IHZ_HAZ_UNNUMBER,202,1)&lt;&gt;""),TRUE)</f>
        <v>1</v>
      </c>
      <c r="H1459" s="52" t="str">
        <f t="shared" si="47"/>
        <v>Row 202 - If ‘DG classification’ is ‘IMDG’ the ‘IMO Hazard Class’ and ‘UN Number’ is mandatory</v>
      </c>
      <c r="J1459" s="52" t="b">
        <f>IF(OR(INDEX(OHZ_HAZ_DGCLASSIFI,202,1)="IMDG",),AND(INDEX(OHZ_HAZ_IMOHAZARDC,202,1)&lt;&gt;"",INDEX(OHZ_HAZ_UNNUMBER,202,1)&lt;&gt;""),TRUE)</f>
        <v>1</v>
      </c>
      <c r="K1459" s="52" t="str">
        <f t="shared" si="48"/>
        <v>Row 202 - If ‘DG classification’ is ‘IMDG’ the ‘IMO Hazard Class’ and ‘UN Number’ is mandatory</v>
      </c>
    </row>
    <row r="1460" spans="7:11">
      <c r="G1460" s="250" t="b">
        <f>IF(OR(INDEX(IHZ_HAZ_DGCLASSIFI,203,1)="IMDG",),AND(INDEX(IHZ_HAZ_IMOHAZARDC,203,1)&lt;&gt;"",INDEX(IHZ_HAZ_UNNUMBER,203,1)&lt;&gt;""),TRUE)</f>
        <v>1</v>
      </c>
      <c r="H1460" s="52" t="str">
        <f t="shared" si="47"/>
        <v>Row 203 - If ‘DG classification’ is ‘IMDG’ the ‘IMO Hazard Class’ and ‘UN Number’ is mandatory</v>
      </c>
      <c r="J1460" s="52" t="b">
        <f>IF(OR(INDEX(OHZ_HAZ_DGCLASSIFI,203,1)="IMDG",),AND(INDEX(OHZ_HAZ_IMOHAZARDC,203,1)&lt;&gt;"",INDEX(OHZ_HAZ_UNNUMBER,203,1)&lt;&gt;""),TRUE)</f>
        <v>1</v>
      </c>
      <c r="K1460" s="52" t="str">
        <f t="shared" si="48"/>
        <v>Row 203 - If ‘DG classification’ is ‘IMDG’ the ‘IMO Hazard Class’ and ‘UN Number’ is mandatory</v>
      </c>
    </row>
    <row r="1461" spans="7:11">
      <c r="G1461" s="250" t="b">
        <f>IF(OR(INDEX(IHZ_HAZ_DGCLASSIFI,204,1)="IMDG",),AND(INDEX(IHZ_HAZ_IMOHAZARDC,204,1)&lt;&gt;"",INDEX(IHZ_HAZ_UNNUMBER,204,1)&lt;&gt;""),TRUE)</f>
        <v>1</v>
      </c>
      <c r="H1461" s="52" t="str">
        <f t="shared" si="47"/>
        <v>Row 204 - If ‘DG classification’ is ‘IMDG’ the ‘IMO Hazard Class’ and ‘UN Number’ is mandatory</v>
      </c>
      <c r="J1461" s="52" t="b">
        <f>IF(OR(INDEX(OHZ_HAZ_DGCLASSIFI,204,1)="IMDG",),AND(INDEX(OHZ_HAZ_IMOHAZARDC,204,1)&lt;&gt;"",INDEX(OHZ_HAZ_UNNUMBER,204,1)&lt;&gt;""),TRUE)</f>
        <v>1</v>
      </c>
      <c r="K1461" s="52" t="str">
        <f t="shared" si="48"/>
        <v>Row 204 - If ‘DG classification’ is ‘IMDG’ the ‘IMO Hazard Class’ and ‘UN Number’ is mandatory</v>
      </c>
    </row>
    <row r="1462" spans="7:11">
      <c r="G1462" s="250" t="b">
        <f>IF(OR(INDEX(IHZ_HAZ_DGCLASSIFI,205,1)="IMDG",),AND(INDEX(IHZ_HAZ_IMOHAZARDC,205,1)&lt;&gt;"",INDEX(IHZ_HAZ_UNNUMBER,205,1)&lt;&gt;""),TRUE)</f>
        <v>1</v>
      </c>
      <c r="H1462" s="52" t="str">
        <f t="shared" si="47"/>
        <v>Row 205 - If ‘DG classification’ is ‘IMDG’ the ‘IMO Hazard Class’ and ‘UN Number’ is mandatory</v>
      </c>
      <c r="J1462" s="52" t="b">
        <f>IF(OR(INDEX(OHZ_HAZ_DGCLASSIFI,205,1)="IMDG",),AND(INDEX(OHZ_HAZ_IMOHAZARDC,205,1)&lt;&gt;"",INDEX(OHZ_HAZ_UNNUMBER,205,1)&lt;&gt;""),TRUE)</f>
        <v>1</v>
      </c>
      <c r="K1462" s="52" t="str">
        <f t="shared" si="48"/>
        <v>Row 205 - If ‘DG classification’ is ‘IMDG’ the ‘IMO Hazard Class’ and ‘UN Number’ is mandatory</v>
      </c>
    </row>
    <row r="1463" spans="7:11">
      <c r="G1463" s="250" t="b">
        <f>IF(OR(INDEX(IHZ_HAZ_DGCLASSIFI,206,1)="IMDG",),AND(INDEX(IHZ_HAZ_IMOHAZARDC,206,1)&lt;&gt;"",INDEX(IHZ_HAZ_UNNUMBER,206,1)&lt;&gt;""),TRUE)</f>
        <v>1</v>
      </c>
      <c r="H1463" s="52" t="str">
        <f t="shared" si="47"/>
        <v>Row 206 - If ‘DG classification’ is ‘IMDG’ the ‘IMO Hazard Class’ and ‘UN Number’ is mandatory</v>
      </c>
      <c r="J1463" s="52" t="b">
        <f>IF(OR(INDEX(OHZ_HAZ_DGCLASSIFI,206,1)="IMDG",),AND(INDEX(OHZ_HAZ_IMOHAZARDC,206,1)&lt;&gt;"",INDEX(OHZ_HAZ_UNNUMBER,206,1)&lt;&gt;""),TRUE)</f>
        <v>1</v>
      </c>
      <c r="K1463" s="52" t="str">
        <f t="shared" si="48"/>
        <v>Row 206 - If ‘DG classification’ is ‘IMDG’ the ‘IMO Hazard Class’ and ‘UN Number’ is mandatory</v>
      </c>
    </row>
    <row r="1464" spans="7:11">
      <c r="G1464" s="250" t="b">
        <f>IF(OR(INDEX(IHZ_HAZ_DGCLASSIFI,207,1)="IMDG",),AND(INDEX(IHZ_HAZ_IMOHAZARDC,207,1)&lt;&gt;"",INDEX(IHZ_HAZ_UNNUMBER,207,1)&lt;&gt;""),TRUE)</f>
        <v>1</v>
      </c>
      <c r="H1464" s="52" t="str">
        <f t="shared" si="47"/>
        <v>Row 207 - If ‘DG classification’ is ‘IMDG’ the ‘IMO Hazard Class’ and ‘UN Number’ is mandatory</v>
      </c>
      <c r="J1464" s="52" t="b">
        <f>IF(OR(INDEX(OHZ_HAZ_DGCLASSIFI,207,1)="IMDG",),AND(INDEX(OHZ_HAZ_IMOHAZARDC,207,1)&lt;&gt;"",INDEX(OHZ_HAZ_UNNUMBER,207,1)&lt;&gt;""),TRUE)</f>
        <v>1</v>
      </c>
      <c r="K1464" s="52" t="str">
        <f t="shared" si="48"/>
        <v>Row 207 - If ‘DG classification’ is ‘IMDG’ the ‘IMO Hazard Class’ and ‘UN Number’ is mandatory</v>
      </c>
    </row>
    <row r="1465" spans="7:11">
      <c r="G1465" s="250" t="b">
        <f>IF(OR(INDEX(IHZ_HAZ_DGCLASSIFI,208,1)="IMDG",),AND(INDEX(IHZ_HAZ_IMOHAZARDC,208,1)&lt;&gt;"",INDEX(IHZ_HAZ_UNNUMBER,208,1)&lt;&gt;""),TRUE)</f>
        <v>1</v>
      </c>
      <c r="H1465" s="52" t="str">
        <f t="shared" si="47"/>
        <v>Row 208 - If ‘DG classification’ is ‘IMDG’ the ‘IMO Hazard Class’ and ‘UN Number’ is mandatory</v>
      </c>
      <c r="J1465" s="52" t="b">
        <f>IF(OR(INDEX(OHZ_HAZ_DGCLASSIFI,208,1)="IMDG",),AND(INDEX(OHZ_HAZ_IMOHAZARDC,208,1)&lt;&gt;"",INDEX(OHZ_HAZ_UNNUMBER,208,1)&lt;&gt;""),TRUE)</f>
        <v>1</v>
      </c>
      <c r="K1465" s="52" t="str">
        <f t="shared" si="48"/>
        <v>Row 208 - If ‘DG classification’ is ‘IMDG’ the ‘IMO Hazard Class’ and ‘UN Number’ is mandatory</v>
      </c>
    </row>
    <row r="1466" spans="7:11">
      <c r="G1466" s="250" t="b">
        <f>IF(OR(INDEX(IHZ_HAZ_DGCLASSIFI,209,1)="IMDG",),AND(INDEX(IHZ_HAZ_IMOHAZARDC,209,1)&lt;&gt;"",INDEX(IHZ_HAZ_UNNUMBER,209,1)&lt;&gt;""),TRUE)</f>
        <v>1</v>
      </c>
      <c r="H1466" s="52" t="str">
        <f t="shared" si="47"/>
        <v>Row 209 - If ‘DG classification’ is ‘IMDG’ the ‘IMO Hazard Class’ and ‘UN Number’ is mandatory</v>
      </c>
      <c r="J1466" s="52" t="b">
        <f>IF(OR(INDEX(OHZ_HAZ_DGCLASSIFI,209,1)="IMDG",),AND(INDEX(OHZ_HAZ_IMOHAZARDC,209,1)&lt;&gt;"",INDEX(OHZ_HAZ_UNNUMBER,209,1)&lt;&gt;""),TRUE)</f>
        <v>1</v>
      </c>
      <c r="K1466" s="52" t="str">
        <f t="shared" si="48"/>
        <v>Row 209 - If ‘DG classification’ is ‘IMDG’ the ‘IMO Hazard Class’ and ‘UN Number’ is mandatory</v>
      </c>
    </row>
    <row r="1467" spans="7:11">
      <c r="G1467" s="250" t="b">
        <f>IF(OR(INDEX(IHZ_HAZ_DGCLASSIFI,210,1)="IMDG",),AND(INDEX(IHZ_HAZ_IMOHAZARDC,210,1)&lt;&gt;"",INDEX(IHZ_HAZ_UNNUMBER,210,1)&lt;&gt;""),TRUE)</f>
        <v>1</v>
      </c>
      <c r="H1467" s="52" t="str">
        <f t="shared" si="47"/>
        <v>Row 210 - If ‘DG classification’ is ‘IMDG’ the ‘IMO Hazard Class’ and ‘UN Number’ is mandatory</v>
      </c>
      <c r="J1467" s="52" t="b">
        <f>IF(OR(INDEX(OHZ_HAZ_DGCLASSIFI,210,1)="IMDG",),AND(INDEX(OHZ_HAZ_IMOHAZARDC,210,1)&lt;&gt;"",INDEX(OHZ_HAZ_UNNUMBER,210,1)&lt;&gt;""),TRUE)</f>
        <v>1</v>
      </c>
      <c r="K1467" s="52" t="str">
        <f t="shared" si="48"/>
        <v>Row 210 - If ‘DG classification’ is ‘IMDG’ the ‘IMO Hazard Class’ and ‘UN Number’ is mandatory</v>
      </c>
    </row>
    <row r="1468" spans="7:11">
      <c r="G1468" s="250" t="b">
        <f>IF(OR(INDEX(IHZ_HAZ_DGCLASSIFI,211,1)="IMDG",),AND(INDEX(IHZ_HAZ_IMOHAZARDC,211,1)&lt;&gt;"",INDEX(IHZ_HAZ_UNNUMBER,211,1)&lt;&gt;""),TRUE)</f>
        <v>1</v>
      </c>
      <c r="H1468" s="52" t="str">
        <f t="shared" si="47"/>
        <v>Row 211 - If ‘DG classification’ is ‘IMDG’ the ‘IMO Hazard Class’ and ‘UN Number’ is mandatory</v>
      </c>
      <c r="J1468" s="52" t="b">
        <f>IF(OR(INDEX(OHZ_HAZ_DGCLASSIFI,211,1)="IMDG",),AND(INDEX(OHZ_HAZ_IMOHAZARDC,211,1)&lt;&gt;"",INDEX(OHZ_HAZ_UNNUMBER,211,1)&lt;&gt;""),TRUE)</f>
        <v>1</v>
      </c>
      <c r="K1468" s="52" t="str">
        <f t="shared" si="48"/>
        <v>Row 211 - If ‘DG classification’ is ‘IMDG’ the ‘IMO Hazard Class’ and ‘UN Number’ is mandatory</v>
      </c>
    </row>
    <row r="1469" spans="7:11">
      <c r="G1469" s="250" t="b">
        <f>IF(OR(INDEX(IHZ_HAZ_DGCLASSIFI,212,1)="IMDG",),AND(INDEX(IHZ_HAZ_IMOHAZARDC,212,1)&lt;&gt;"",INDEX(IHZ_HAZ_UNNUMBER,212,1)&lt;&gt;""),TRUE)</f>
        <v>1</v>
      </c>
      <c r="H1469" s="52" t="str">
        <f t="shared" si="47"/>
        <v>Row 212 - If ‘DG classification’ is ‘IMDG’ the ‘IMO Hazard Class’ and ‘UN Number’ is mandatory</v>
      </c>
      <c r="J1469" s="52" t="b">
        <f>IF(OR(INDEX(OHZ_HAZ_DGCLASSIFI,212,1)="IMDG",),AND(INDEX(OHZ_HAZ_IMOHAZARDC,212,1)&lt;&gt;"",INDEX(OHZ_HAZ_UNNUMBER,212,1)&lt;&gt;""),TRUE)</f>
        <v>1</v>
      </c>
      <c r="K1469" s="52" t="str">
        <f t="shared" si="48"/>
        <v>Row 212 - If ‘DG classification’ is ‘IMDG’ the ‘IMO Hazard Class’ and ‘UN Number’ is mandatory</v>
      </c>
    </row>
    <row r="1470" spans="7:11">
      <c r="G1470" s="250" t="b">
        <f>IF(OR(INDEX(IHZ_HAZ_DGCLASSIFI,213,1)="IMDG",),AND(INDEX(IHZ_HAZ_IMOHAZARDC,213,1)&lt;&gt;"",INDEX(IHZ_HAZ_UNNUMBER,213,1)&lt;&gt;""),TRUE)</f>
        <v>1</v>
      </c>
      <c r="H1470" s="52" t="str">
        <f t="shared" si="47"/>
        <v>Row 213 - If ‘DG classification’ is ‘IMDG’ the ‘IMO Hazard Class’ and ‘UN Number’ is mandatory</v>
      </c>
      <c r="J1470" s="52" t="b">
        <f>IF(OR(INDEX(OHZ_HAZ_DGCLASSIFI,213,1)="IMDG",),AND(INDEX(OHZ_HAZ_IMOHAZARDC,213,1)&lt;&gt;"",INDEX(OHZ_HAZ_UNNUMBER,213,1)&lt;&gt;""),TRUE)</f>
        <v>1</v>
      </c>
      <c r="K1470" s="52" t="str">
        <f t="shared" si="48"/>
        <v>Row 213 - If ‘DG classification’ is ‘IMDG’ the ‘IMO Hazard Class’ and ‘UN Number’ is mandatory</v>
      </c>
    </row>
    <row r="1471" spans="7:11">
      <c r="G1471" s="250" t="b">
        <f>IF(OR(INDEX(IHZ_HAZ_DGCLASSIFI,214,1)="IMDG",),AND(INDEX(IHZ_HAZ_IMOHAZARDC,214,1)&lt;&gt;"",INDEX(IHZ_HAZ_UNNUMBER,214,1)&lt;&gt;""),TRUE)</f>
        <v>1</v>
      </c>
      <c r="H1471" s="52" t="str">
        <f t="shared" si="47"/>
        <v>Row 214 - If ‘DG classification’ is ‘IMDG’ the ‘IMO Hazard Class’ and ‘UN Number’ is mandatory</v>
      </c>
      <c r="J1471" s="52" t="b">
        <f>IF(OR(INDEX(OHZ_HAZ_DGCLASSIFI,214,1)="IMDG",),AND(INDEX(OHZ_HAZ_IMOHAZARDC,214,1)&lt;&gt;"",INDEX(OHZ_HAZ_UNNUMBER,214,1)&lt;&gt;""),TRUE)</f>
        <v>1</v>
      </c>
      <c r="K1471" s="52" t="str">
        <f t="shared" si="48"/>
        <v>Row 214 - If ‘DG classification’ is ‘IMDG’ the ‘IMO Hazard Class’ and ‘UN Number’ is mandatory</v>
      </c>
    </row>
    <row r="1472" spans="7:11">
      <c r="G1472" s="250" t="b">
        <f>IF(OR(INDEX(IHZ_HAZ_DGCLASSIFI,215,1)="IMDG",),AND(INDEX(IHZ_HAZ_IMOHAZARDC,215,1)&lt;&gt;"",INDEX(IHZ_HAZ_UNNUMBER,215,1)&lt;&gt;""),TRUE)</f>
        <v>1</v>
      </c>
      <c r="H1472" s="52" t="str">
        <f t="shared" si="47"/>
        <v>Row 215 - If ‘DG classification’ is ‘IMDG’ the ‘IMO Hazard Class’ and ‘UN Number’ is mandatory</v>
      </c>
      <c r="J1472" s="52" t="b">
        <f>IF(OR(INDEX(OHZ_HAZ_DGCLASSIFI,215,1)="IMDG",),AND(INDEX(OHZ_HAZ_IMOHAZARDC,215,1)&lt;&gt;"",INDEX(OHZ_HAZ_UNNUMBER,215,1)&lt;&gt;""),TRUE)</f>
        <v>1</v>
      </c>
      <c r="K1472" s="52" t="str">
        <f t="shared" si="48"/>
        <v>Row 215 - If ‘DG classification’ is ‘IMDG’ the ‘IMO Hazard Class’ and ‘UN Number’ is mandatory</v>
      </c>
    </row>
    <row r="1473" spans="7:11">
      <c r="G1473" s="250" t="b">
        <f>IF(OR(INDEX(IHZ_HAZ_DGCLASSIFI,216,1)="IMDG",),AND(INDEX(IHZ_HAZ_IMOHAZARDC,216,1)&lt;&gt;"",INDEX(IHZ_HAZ_UNNUMBER,216,1)&lt;&gt;""),TRUE)</f>
        <v>1</v>
      </c>
      <c r="H1473" s="52" t="str">
        <f t="shared" si="47"/>
        <v>Row 216 - If ‘DG classification’ is ‘IMDG’ the ‘IMO Hazard Class’ and ‘UN Number’ is mandatory</v>
      </c>
      <c r="J1473" s="52" t="b">
        <f>IF(OR(INDEX(OHZ_HAZ_DGCLASSIFI,216,1)="IMDG",),AND(INDEX(OHZ_HAZ_IMOHAZARDC,216,1)&lt;&gt;"",INDEX(OHZ_HAZ_UNNUMBER,216,1)&lt;&gt;""),TRUE)</f>
        <v>1</v>
      </c>
      <c r="K1473" s="52" t="str">
        <f t="shared" si="48"/>
        <v>Row 216 - If ‘DG classification’ is ‘IMDG’ the ‘IMO Hazard Class’ and ‘UN Number’ is mandatory</v>
      </c>
    </row>
    <row r="1474" spans="7:11">
      <c r="G1474" s="250" t="b">
        <f>IF(OR(INDEX(IHZ_HAZ_DGCLASSIFI,217,1)="IMDG",),AND(INDEX(IHZ_HAZ_IMOHAZARDC,217,1)&lt;&gt;"",INDEX(IHZ_HAZ_UNNUMBER,217,1)&lt;&gt;""),TRUE)</f>
        <v>1</v>
      </c>
      <c r="H1474" s="52" t="str">
        <f t="shared" si="47"/>
        <v>Row 217 - If ‘DG classification’ is ‘IMDG’ the ‘IMO Hazard Class’ and ‘UN Number’ is mandatory</v>
      </c>
      <c r="J1474" s="52" t="b">
        <f>IF(OR(INDEX(OHZ_HAZ_DGCLASSIFI,217,1)="IMDG",),AND(INDEX(OHZ_HAZ_IMOHAZARDC,217,1)&lt;&gt;"",INDEX(OHZ_HAZ_UNNUMBER,217,1)&lt;&gt;""),TRUE)</f>
        <v>1</v>
      </c>
      <c r="K1474" s="52" t="str">
        <f t="shared" si="48"/>
        <v>Row 217 - If ‘DG classification’ is ‘IMDG’ the ‘IMO Hazard Class’ and ‘UN Number’ is mandatory</v>
      </c>
    </row>
    <row r="1475" spans="7:11">
      <c r="G1475" s="250" t="b">
        <f>IF(OR(INDEX(IHZ_HAZ_DGCLASSIFI,218,1)="IMDG",),AND(INDEX(IHZ_HAZ_IMOHAZARDC,218,1)&lt;&gt;"",INDEX(IHZ_HAZ_UNNUMBER,218,1)&lt;&gt;""),TRUE)</f>
        <v>1</v>
      </c>
      <c r="H1475" s="52" t="str">
        <f t="shared" si="47"/>
        <v>Row 218 - If ‘DG classification’ is ‘IMDG’ the ‘IMO Hazard Class’ and ‘UN Number’ is mandatory</v>
      </c>
      <c r="J1475" s="52" t="b">
        <f>IF(OR(INDEX(OHZ_HAZ_DGCLASSIFI,218,1)="IMDG",),AND(INDEX(OHZ_HAZ_IMOHAZARDC,218,1)&lt;&gt;"",INDEX(OHZ_HAZ_UNNUMBER,218,1)&lt;&gt;""),TRUE)</f>
        <v>1</v>
      </c>
      <c r="K1475" s="52" t="str">
        <f t="shared" si="48"/>
        <v>Row 218 - If ‘DG classification’ is ‘IMDG’ the ‘IMO Hazard Class’ and ‘UN Number’ is mandatory</v>
      </c>
    </row>
    <row r="1476" spans="7:11">
      <c r="G1476" s="250" t="b">
        <f>IF(OR(INDEX(IHZ_HAZ_DGCLASSIFI,219,1)="IMDG",),AND(INDEX(IHZ_HAZ_IMOHAZARDC,219,1)&lt;&gt;"",INDEX(IHZ_HAZ_UNNUMBER,219,1)&lt;&gt;""),TRUE)</f>
        <v>1</v>
      </c>
      <c r="H1476" s="52" t="str">
        <f t="shared" si="47"/>
        <v>Row 219 - If ‘DG classification’ is ‘IMDG’ the ‘IMO Hazard Class’ and ‘UN Number’ is mandatory</v>
      </c>
      <c r="J1476" s="52" t="b">
        <f>IF(OR(INDEX(OHZ_HAZ_DGCLASSIFI,219,1)="IMDG",),AND(INDEX(OHZ_HAZ_IMOHAZARDC,219,1)&lt;&gt;"",INDEX(OHZ_HAZ_UNNUMBER,219,1)&lt;&gt;""),TRUE)</f>
        <v>1</v>
      </c>
      <c r="K1476" s="52" t="str">
        <f t="shared" si="48"/>
        <v>Row 219 - If ‘DG classification’ is ‘IMDG’ the ‘IMO Hazard Class’ and ‘UN Number’ is mandatory</v>
      </c>
    </row>
    <row r="1477" spans="7:11">
      <c r="G1477" s="250" t="b">
        <f>IF(OR(INDEX(IHZ_HAZ_DGCLASSIFI,220,1)="IMDG",),AND(INDEX(IHZ_HAZ_IMOHAZARDC,220,1)&lt;&gt;"",INDEX(IHZ_HAZ_UNNUMBER,220,1)&lt;&gt;""),TRUE)</f>
        <v>1</v>
      </c>
      <c r="H1477" s="52" t="str">
        <f t="shared" si="47"/>
        <v>Row 220 - If ‘DG classification’ is ‘IMDG’ the ‘IMO Hazard Class’ and ‘UN Number’ is mandatory</v>
      </c>
      <c r="J1477" s="52" t="b">
        <f>IF(OR(INDEX(OHZ_HAZ_DGCLASSIFI,220,1)="IMDG",),AND(INDEX(OHZ_HAZ_IMOHAZARDC,220,1)&lt;&gt;"",INDEX(OHZ_HAZ_UNNUMBER,220,1)&lt;&gt;""),TRUE)</f>
        <v>1</v>
      </c>
      <c r="K1477" s="52" t="str">
        <f t="shared" si="48"/>
        <v>Row 220 - If ‘DG classification’ is ‘IMDG’ the ‘IMO Hazard Class’ and ‘UN Number’ is mandatory</v>
      </c>
    </row>
    <row r="1478" spans="7:11">
      <c r="G1478" s="250" t="b">
        <f>IF(OR(INDEX(IHZ_HAZ_DGCLASSIFI,221,1)="IMDG",),AND(INDEX(IHZ_HAZ_IMOHAZARDC,221,1)&lt;&gt;"",INDEX(IHZ_HAZ_UNNUMBER,221,1)&lt;&gt;""),TRUE)</f>
        <v>1</v>
      </c>
      <c r="H1478" s="52" t="str">
        <f t="shared" si="47"/>
        <v>Row 221 - If ‘DG classification’ is ‘IMDG’ the ‘IMO Hazard Class’ and ‘UN Number’ is mandatory</v>
      </c>
      <c r="J1478" s="52" t="b">
        <f>IF(OR(INDEX(OHZ_HAZ_DGCLASSIFI,221,1)="IMDG",),AND(INDEX(OHZ_HAZ_IMOHAZARDC,221,1)&lt;&gt;"",INDEX(OHZ_HAZ_UNNUMBER,221,1)&lt;&gt;""),TRUE)</f>
        <v>1</v>
      </c>
      <c r="K1478" s="52" t="str">
        <f t="shared" si="48"/>
        <v>Row 221 - If ‘DG classification’ is ‘IMDG’ the ‘IMO Hazard Class’ and ‘UN Number’ is mandatory</v>
      </c>
    </row>
    <row r="1479" spans="7:11">
      <c r="G1479" s="250" t="b">
        <f>IF(OR(INDEX(IHZ_HAZ_DGCLASSIFI,222,1)="IMDG",),AND(INDEX(IHZ_HAZ_IMOHAZARDC,222,1)&lt;&gt;"",INDEX(IHZ_HAZ_UNNUMBER,222,1)&lt;&gt;""),TRUE)</f>
        <v>1</v>
      </c>
      <c r="H1479" s="52" t="str">
        <f t="shared" si="47"/>
        <v>Row 222 - If ‘DG classification’ is ‘IMDG’ the ‘IMO Hazard Class’ and ‘UN Number’ is mandatory</v>
      </c>
      <c r="J1479" s="52" t="b">
        <f>IF(OR(INDEX(OHZ_HAZ_DGCLASSIFI,222,1)="IMDG",),AND(INDEX(OHZ_HAZ_IMOHAZARDC,222,1)&lt;&gt;"",INDEX(OHZ_HAZ_UNNUMBER,222,1)&lt;&gt;""),TRUE)</f>
        <v>1</v>
      </c>
      <c r="K1479" s="52" t="str">
        <f t="shared" si="48"/>
        <v>Row 222 - If ‘DG classification’ is ‘IMDG’ the ‘IMO Hazard Class’ and ‘UN Number’ is mandatory</v>
      </c>
    </row>
    <row r="1480" spans="7:11">
      <c r="G1480" s="250" t="b">
        <f>IF(OR(INDEX(IHZ_HAZ_DGCLASSIFI,223,1)="IMDG",),AND(INDEX(IHZ_HAZ_IMOHAZARDC,223,1)&lt;&gt;"",INDEX(IHZ_HAZ_UNNUMBER,223,1)&lt;&gt;""),TRUE)</f>
        <v>1</v>
      </c>
      <c r="H1480" s="52" t="str">
        <f t="shared" si="47"/>
        <v>Row 223 - If ‘DG classification’ is ‘IMDG’ the ‘IMO Hazard Class’ and ‘UN Number’ is mandatory</v>
      </c>
      <c r="J1480" s="52" t="b">
        <f>IF(OR(INDEX(OHZ_HAZ_DGCLASSIFI,223,1)="IMDG",),AND(INDEX(OHZ_HAZ_IMOHAZARDC,223,1)&lt;&gt;"",INDEX(OHZ_HAZ_UNNUMBER,223,1)&lt;&gt;""),TRUE)</f>
        <v>1</v>
      </c>
      <c r="K1480" s="52" t="str">
        <f t="shared" si="48"/>
        <v>Row 223 - If ‘DG classification’ is ‘IMDG’ the ‘IMO Hazard Class’ and ‘UN Number’ is mandatory</v>
      </c>
    </row>
    <row r="1481" spans="7:11">
      <c r="G1481" s="250" t="b">
        <f>IF(OR(INDEX(IHZ_HAZ_DGCLASSIFI,224,1)="IMDG",),AND(INDEX(IHZ_HAZ_IMOHAZARDC,224,1)&lt;&gt;"",INDEX(IHZ_HAZ_UNNUMBER,224,1)&lt;&gt;""),TRUE)</f>
        <v>1</v>
      </c>
      <c r="H1481" s="52" t="str">
        <f t="shared" si="47"/>
        <v>Row 224 - If ‘DG classification’ is ‘IMDG’ the ‘IMO Hazard Class’ and ‘UN Number’ is mandatory</v>
      </c>
      <c r="J1481" s="52" t="b">
        <f>IF(OR(INDEX(OHZ_HAZ_DGCLASSIFI,224,1)="IMDG",),AND(INDEX(OHZ_HAZ_IMOHAZARDC,224,1)&lt;&gt;"",INDEX(OHZ_HAZ_UNNUMBER,224,1)&lt;&gt;""),TRUE)</f>
        <v>1</v>
      </c>
      <c r="K1481" s="52" t="str">
        <f t="shared" si="48"/>
        <v>Row 224 - If ‘DG classification’ is ‘IMDG’ the ‘IMO Hazard Class’ and ‘UN Number’ is mandatory</v>
      </c>
    </row>
    <row r="1482" spans="7:11">
      <c r="G1482" s="250" t="b">
        <f>IF(OR(INDEX(IHZ_HAZ_DGCLASSIFI,225,1)="IMDG",),AND(INDEX(IHZ_HAZ_IMOHAZARDC,225,1)&lt;&gt;"",INDEX(IHZ_HAZ_UNNUMBER,225,1)&lt;&gt;""),TRUE)</f>
        <v>1</v>
      </c>
      <c r="H1482" s="52" t="str">
        <f t="shared" si="47"/>
        <v>Row 225 - If ‘DG classification’ is ‘IMDG’ the ‘IMO Hazard Class’ and ‘UN Number’ is mandatory</v>
      </c>
      <c r="J1482" s="52" t="b">
        <f>IF(OR(INDEX(OHZ_HAZ_DGCLASSIFI,225,1)="IMDG",),AND(INDEX(OHZ_HAZ_IMOHAZARDC,225,1)&lt;&gt;"",INDEX(OHZ_HAZ_UNNUMBER,225,1)&lt;&gt;""),TRUE)</f>
        <v>1</v>
      </c>
      <c r="K1482" s="52" t="str">
        <f t="shared" si="48"/>
        <v>Row 225 - If ‘DG classification’ is ‘IMDG’ the ‘IMO Hazard Class’ and ‘UN Number’ is mandatory</v>
      </c>
    </row>
    <row r="1483" spans="7:11">
      <c r="G1483" s="250" t="b">
        <f>IF(OR(INDEX(IHZ_HAZ_DGCLASSIFI,226,1)="IMDG",),AND(INDEX(IHZ_HAZ_IMOHAZARDC,226,1)&lt;&gt;"",INDEX(IHZ_HAZ_UNNUMBER,226,1)&lt;&gt;""),TRUE)</f>
        <v>1</v>
      </c>
      <c r="H1483" s="52" t="str">
        <f t="shared" si="47"/>
        <v>Row 226 - If ‘DG classification’ is ‘IMDG’ the ‘IMO Hazard Class’ and ‘UN Number’ is mandatory</v>
      </c>
      <c r="J1483" s="52" t="b">
        <f>IF(OR(INDEX(OHZ_HAZ_DGCLASSIFI,226,1)="IMDG",),AND(INDEX(OHZ_HAZ_IMOHAZARDC,226,1)&lt;&gt;"",INDEX(OHZ_HAZ_UNNUMBER,226,1)&lt;&gt;""),TRUE)</f>
        <v>1</v>
      </c>
      <c r="K1483" s="52" t="str">
        <f t="shared" si="48"/>
        <v>Row 226 - If ‘DG classification’ is ‘IMDG’ the ‘IMO Hazard Class’ and ‘UN Number’ is mandatory</v>
      </c>
    </row>
    <row r="1484" spans="7:11">
      <c r="G1484" s="250" t="b">
        <f>IF(OR(INDEX(IHZ_HAZ_DGCLASSIFI,227,1)="IMDG",),AND(INDEX(IHZ_HAZ_IMOHAZARDC,227,1)&lt;&gt;"",INDEX(IHZ_HAZ_UNNUMBER,227,1)&lt;&gt;""),TRUE)</f>
        <v>1</v>
      </c>
      <c r="H1484" s="52" t="str">
        <f t="shared" si="47"/>
        <v>Row 227 - If ‘DG classification’ is ‘IMDG’ the ‘IMO Hazard Class’ and ‘UN Number’ is mandatory</v>
      </c>
      <c r="J1484" s="52" t="b">
        <f>IF(OR(INDEX(OHZ_HAZ_DGCLASSIFI,227,1)="IMDG",),AND(INDEX(OHZ_HAZ_IMOHAZARDC,227,1)&lt;&gt;"",INDEX(OHZ_HAZ_UNNUMBER,227,1)&lt;&gt;""),TRUE)</f>
        <v>1</v>
      </c>
      <c r="K1484" s="52" t="str">
        <f t="shared" si="48"/>
        <v>Row 227 - If ‘DG classification’ is ‘IMDG’ the ‘IMO Hazard Class’ and ‘UN Number’ is mandatory</v>
      </c>
    </row>
    <row r="1485" spans="7:11">
      <c r="G1485" s="250" t="b">
        <f>IF(OR(INDEX(IHZ_HAZ_DGCLASSIFI,228,1)="IMDG",),AND(INDEX(IHZ_HAZ_IMOHAZARDC,228,1)&lt;&gt;"",INDEX(IHZ_HAZ_UNNUMBER,228,1)&lt;&gt;""),TRUE)</f>
        <v>1</v>
      </c>
      <c r="H1485" s="52" t="str">
        <f t="shared" si="47"/>
        <v>Row 228 - If ‘DG classification’ is ‘IMDG’ the ‘IMO Hazard Class’ and ‘UN Number’ is mandatory</v>
      </c>
      <c r="J1485" s="52" t="b">
        <f>IF(OR(INDEX(OHZ_HAZ_DGCLASSIFI,228,1)="IMDG",),AND(INDEX(OHZ_HAZ_IMOHAZARDC,228,1)&lt;&gt;"",INDEX(OHZ_HAZ_UNNUMBER,228,1)&lt;&gt;""),TRUE)</f>
        <v>1</v>
      </c>
      <c r="K1485" s="52" t="str">
        <f t="shared" si="48"/>
        <v>Row 228 - If ‘DG classification’ is ‘IMDG’ the ‘IMO Hazard Class’ and ‘UN Number’ is mandatory</v>
      </c>
    </row>
    <row r="1486" spans="7:11">
      <c r="G1486" s="250" t="b">
        <f>IF(OR(INDEX(IHZ_HAZ_DGCLASSIFI,229,1)="IMDG",),AND(INDEX(IHZ_HAZ_IMOHAZARDC,229,1)&lt;&gt;"",INDEX(IHZ_HAZ_UNNUMBER,229,1)&lt;&gt;""),TRUE)</f>
        <v>1</v>
      </c>
      <c r="H1486" s="52" t="str">
        <f t="shared" si="47"/>
        <v>Row 229 - If ‘DG classification’ is ‘IMDG’ the ‘IMO Hazard Class’ and ‘UN Number’ is mandatory</v>
      </c>
      <c r="J1486" s="52" t="b">
        <f>IF(OR(INDEX(OHZ_HAZ_DGCLASSIFI,229,1)="IMDG",),AND(INDEX(OHZ_HAZ_IMOHAZARDC,229,1)&lt;&gt;"",INDEX(OHZ_HAZ_UNNUMBER,229,1)&lt;&gt;""),TRUE)</f>
        <v>1</v>
      </c>
      <c r="K1486" s="52" t="str">
        <f t="shared" si="48"/>
        <v>Row 229 - If ‘DG classification’ is ‘IMDG’ the ‘IMO Hazard Class’ and ‘UN Number’ is mandatory</v>
      </c>
    </row>
    <row r="1487" spans="7:11">
      <c r="G1487" s="250" t="b">
        <f>IF(OR(INDEX(IHZ_HAZ_DGCLASSIFI,230,1)="IMDG",),AND(INDEX(IHZ_HAZ_IMOHAZARDC,230,1)&lt;&gt;"",INDEX(IHZ_HAZ_UNNUMBER,230,1)&lt;&gt;""),TRUE)</f>
        <v>1</v>
      </c>
      <c r="H1487" s="52" t="str">
        <f t="shared" si="47"/>
        <v>Row 230 - If ‘DG classification’ is ‘IMDG’ the ‘IMO Hazard Class’ and ‘UN Number’ is mandatory</v>
      </c>
      <c r="J1487" s="52" t="b">
        <f>IF(OR(INDEX(OHZ_HAZ_DGCLASSIFI,230,1)="IMDG",),AND(INDEX(OHZ_HAZ_IMOHAZARDC,230,1)&lt;&gt;"",INDEX(OHZ_HAZ_UNNUMBER,230,1)&lt;&gt;""),TRUE)</f>
        <v>1</v>
      </c>
      <c r="K1487" s="52" t="str">
        <f t="shared" si="48"/>
        <v>Row 230 - If ‘DG classification’ is ‘IMDG’ the ‘IMO Hazard Class’ and ‘UN Number’ is mandatory</v>
      </c>
    </row>
    <row r="1488" spans="7:11">
      <c r="G1488" s="250" t="b">
        <f>IF(OR(INDEX(IHZ_HAZ_DGCLASSIFI,231,1)="IMDG",),AND(INDEX(IHZ_HAZ_IMOHAZARDC,231,1)&lt;&gt;"",INDEX(IHZ_HAZ_UNNUMBER,231,1)&lt;&gt;""),TRUE)</f>
        <v>1</v>
      </c>
      <c r="H1488" s="52" t="str">
        <f t="shared" si="47"/>
        <v>Row 231 - If ‘DG classification’ is ‘IMDG’ the ‘IMO Hazard Class’ and ‘UN Number’ is mandatory</v>
      </c>
      <c r="J1488" s="52" t="b">
        <f>IF(OR(INDEX(OHZ_HAZ_DGCLASSIFI,231,1)="IMDG",),AND(INDEX(OHZ_HAZ_IMOHAZARDC,231,1)&lt;&gt;"",INDEX(OHZ_HAZ_UNNUMBER,231,1)&lt;&gt;""),TRUE)</f>
        <v>1</v>
      </c>
      <c r="K1488" s="52" t="str">
        <f t="shared" si="48"/>
        <v>Row 231 - If ‘DG classification’ is ‘IMDG’ the ‘IMO Hazard Class’ and ‘UN Number’ is mandatory</v>
      </c>
    </row>
    <row r="1489" spans="7:11">
      <c r="G1489" s="250" t="b">
        <f>IF(OR(INDEX(IHZ_HAZ_DGCLASSIFI,232,1)="IMDG",),AND(INDEX(IHZ_HAZ_IMOHAZARDC,232,1)&lt;&gt;"",INDEX(IHZ_HAZ_UNNUMBER,232,1)&lt;&gt;""),TRUE)</f>
        <v>1</v>
      </c>
      <c r="H1489" s="52" t="str">
        <f t="shared" si="47"/>
        <v>Row 232 - If ‘DG classification’ is ‘IMDG’ the ‘IMO Hazard Class’ and ‘UN Number’ is mandatory</v>
      </c>
      <c r="J1489" s="52" t="b">
        <f>IF(OR(INDEX(OHZ_HAZ_DGCLASSIFI,232,1)="IMDG",),AND(INDEX(OHZ_HAZ_IMOHAZARDC,232,1)&lt;&gt;"",INDEX(OHZ_HAZ_UNNUMBER,232,1)&lt;&gt;""),TRUE)</f>
        <v>1</v>
      </c>
      <c r="K1489" s="52" t="str">
        <f t="shared" si="48"/>
        <v>Row 232 - If ‘DG classification’ is ‘IMDG’ the ‘IMO Hazard Class’ and ‘UN Number’ is mandatory</v>
      </c>
    </row>
    <row r="1490" spans="7:11">
      <c r="G1490" s="250" t="b">
        <f>IF(OR(INDEX(IHZ_HAZ_DGCLASSIFI,233,1)="IMDG",),AND(INDEX(IHZ_HAZ_IMOHAZARDC,233,1)&lt;&gt;"",INDEX(IHZ_HAZ_UNNUMBER,233,1)&lt;&gt;""),TRUE)</f>
        <v>1</v>
      </c>
      <c r="H1490" s="52" t="str">
        <f t="shared" si="47"/>
        <v>Row 233 - If ‘DG classification’ is ‘IMDG’ the ‘IMO Hazard Class’ and ‘UN Number’ is mandatory</v>
      </c>
      <c r="J1490" s="52" t="b">
        <f>IF(OR(INDEX(OHZ_HAZ_DGCLASSIFI,233,1)="IMDG",),AND(INDEX(OHZ_HAZ_IMOHAZARDC,233,1)&lt;&gt;"",INDEX(OHZ_HAZ_UNNUMBER,233,1)&lt;&gt;""),TRUE)</f>
        <v>1</v>
      </c>
      <c r="K1490" s="52" t="str">
        <f t="shared" si="48"/>
        <v>Row 233 - If ‘DG classification’ is ‘IMDG’ the ‘IMO Hazard Class’ and ‘UN Number’ is mandatory</v>
      </c>
    </row>
    <row r="1491" spans="7:11">
      <c r="G1491" s="250" t="b">
        <f>IF(OR(INDEX(IHZ_HAZ_DGCLASSIFI,234,1)="IMDG",),AND(INDEX(IHZ_HAZ_IMOHAZARDC,234,1)&lt;&gt;"",INDEX(IHZ_HAZ_UNNUMBER,234,1)&lt;&gt;""),TRUE)</f>
        <v>1</v>
      </c>
      <c r="H1491" s="52" t="str">
        <f t="shared" si="47"/>
        <v>Row 234 - If ‘DG classification’ is ‘IMDG’ the ‘IMO Hazard Class’ and ‘UN Number’ is mandatory</v>
      </c>
      <c r="J1491" s="52" t="b">
        <f>IF(OR(INDEX(OHZ_HAZ_DGCLASSIFI,234,1)="IMDG",),AND(INDEX(OHZ_HAZ_IMOHAZARDC,234,1)&lt;&gt;"",INDEX(OHZ_HAZ_UNNUMBER,234,1)&lt;&gt;""),TRUE)</f>
        <v>1</v>
      </c>
      <c r="K1491" s="52" t="str">
        <f t="shared" si="48"/>
        <v>Row 234 - If ‘DG classification’ is ‘IMDG’ the ‘IMO Hazard Class’ and ‘UN Number’ is mandatory</v>
      </c>
    </row>
    <row r="1492" spans="7:11">
      <c r="G1492" s="250" t="b">
        <f>IF(OR(INDEX(IHZ_HAZ_DGCLASSIFI,235,1)="IMDG",),AND(INDEX(IHZ_HAZ_IMOHAZARDC,235,1)&lt;&gt;"",INDEX(IHZ_HAZ_UNNUMBER,235,1)&lt;&gt;""),TRUE)</f>
        <v>1</v>
      </c>
      <c r="H1492" s="52" t="str">
        <f t="shared" si="47"/>
        <v>Row 235 - If ‘DG classification’ is ‘IMDG’ the ‘IMO Hazard Class’ and ‘UN Number’ is mandatory</v>
      </c>
      <c r="J1492" s="52" t="b">
        <f>IF(OR(INDEX(OHZ_HAZ_DGCLASSIFI,235,1)="IMDG",),AND(INDEX(OHZ_HAZ_IMOHAZARDC,235,1)&lt;&gt;"",INDEX(OHZ_HAZ_UNNUMBER,235,1)&lt;&gt;""),TRUE)</f>
        <v>1</v>
      </c>
      <c r="K1492" s="52" t="str">
        <f t="shared" si="48"/>
        <v>Row 235 - If ‘DG classification’ is ‘IMDG’ the ‘IMO Hazard Class’ and ‘UN Number’ is mandatory</v>
      </c>
    </row>
    <row r="1493" spans="7:11">
      <c r="G1493" s="250" t="b">
        <f>IF(OR(INDEX(IHZ_HAZ_DGCLASSIFI,236,1)="IMDG",),AND(INDEX(IHZ_HAZ_IMOHAZARDC,236,1)&lt;&gt;"",INDEX(IHZ_HAZ_UNNUMBER,236,1)&lt;&gt;""),TRUE)</f>
        <v>1</v>
      </c>
      <c r="H1493" s="52" t="str">
        <f t="shared" si="47"/>
        <v>Row 236 - If ‘DG classification’ is ‘IMDG’ the ‘IMO Hazard Class’ and ‘UN Number’ is mandatory</v>
      </c>
      <c r="J1493" s="52" t="b">
        <f>IF(OR(INDEX(OHZ_HAZ_DGCLASSIFI,236,1)="IMDG",),AND(INDEX(OHZ_HAZ_IMOHAZARDC,236,1)&lt;&gt;"",INDEX(OHZ_HAZ_UNNUMBER,236,1)&lt;&gt;""),TRUE)</f>
        <v>1</v>
      </c>
      <c r="K1493" s="52" t="str">
        <f t="shared" si="48"/>
        <v>Row 236 - If ‘DG classification’ is ‘IMDG’ the ‘IMO Hazard Class’ and ‘UN Number’ is mandatory</v>
      </c>
    </row>
    <row r="1494" spans="7:11">
      <c r="G1494" s="250" t="b">
        <f>IF(OR(INDEX(IHZ_HAZ_DGCLASSIFI,237,1)="IMDG",),AND(INDEX(IHZ_HAZ_IMOHAZARDC,237,1)&lt;&gt;"",INDEX(IHZ_HAZ_UNNUMBER,237,1)&lt;&gt;""),TRUE)</f>
        <v>1</v>
      </c>
      <c r="H1494" s="52" t="str">
        <f t="shared" si="47"/>
        <v>Row 237 - If ‘DG classification’ is ‘IMDG’ the ‘IMO Hazard Class’ and ‘UN Number’ is mandatory</v>
      </c>
      <c r="J1494" s="52" t="b">
        <f>IF(OR(INDEX(OHZ_HAZ_DGCLASSIFI,237,1)="IMDG",),AND(INDEX(OHZ_HAZ_IMOHAZARDC,237,1)&lt;&gt;"",INDEX(OHZ_HAZ_UNNUMBER,237,1)&lt;&gt;""),TRUE)</f>
        <v>1</v>
      </c>
      <c r="K1494" s="52" t="str">
        <f t="shared" si="48"/>
        <v>Row 237 - If ‘DG classification’ is ‘IMDG’ the ‘IMO Hazard Class’ and ‘UN Number’ is mandatory</v>
      </c>
    </row>
    <row r="1495" spans="7:11">
      <c r="G1495" s="250" t="b">
        <f>IF(OR(INDEX(IHZ_HAZ_DGCLASSIFI,238,1)="IMDG",),AND(INDEX(IHZ_HAZ_IMOHAZARDC,238,1)&lt;&gt;"",INDEX(IHZ_HAZ_UNNUMBER,238,1)&lt;&gt;""),TRUE)</f>
        <v>1</v>
      </c>
      <c r="H1495" s="52" t="str">
        <f t="shared" si="47"/>
        <v>Row 238 - If ‘DG classification’ is ‘IMDG’ the ‘IMO Hazard Class’ and ‘UN Number’ is mandatory</v>
      </c>
      <c r="J1495" s="52" t="b">
        <f>IF(OR(INDEX(OHZ_HAZ_DGCLASSIFI,238,1)="IMDG",),AND(INDEX(OHZ_HAZ_IMOHAZARDC,238,1)&lt;&gt;"",INDEX(OHZ_HAZ_UNNUMBER,238,1)&lt;&gt;""),TRUE)</f>
        <v>1</v>
      </c>
      <c r="K1495" s="52" t="str">
        <f t="shared" si="48"/>
        <v>Row 238 - If ‘DG classification’ is ‘IMDG’ the ‘IMO Hazard Class’ and ‘UN Number’ is mandatory</v>
      </c>
    </row>
    <row r="1496" spans="7:11">
      <c r="G1496" s="250" t="b">
        <f>IF(OR(INDEX(IHZ_HAZ_DGCLASSIFI,239,1)="IMDG",),AND(INDEX(IHZ_HAZ_IMOHAZARDC,239,1)&lt;&gt;"",INDEX(IHZ_HAZ_UNNUMBER,239,1)&lt;&gt;""),TRUE)</f>
        <v>1</v>
      </c>
      <c r="H1496" s="52" t="str">
        <f t="shared" si="47"/>
        <v>Row 239 - If ‘DG classification’ is ‘IMDG’ the ‘IMO Hazard Class’ and ‘UN Number’ is mandatory</v>
      </c>
      <c r="J1496" s="52" t="b">
        <f>IF(OR(INDEX(OHZ_HAZ_DGCLASSIFI,239,1)="IMDG",),AND(INDEX(OHZ_HAZ_IMOHAZARDC,239,1)&lt;&gt;"",INDEX(OHZ_HAZ_UNNUMBER,239,1)&lt;&gt;""),TRUE)</f>
        <v>1</v>
      </c>
      <c r="K1496" s="52" t="str">
        <f t="shared" si="48"/>
        <v>Row 239 - If ‘DG classification’ is ‘IMDG’ the ‘IMO Hazard Class’ and ‘UN Number’ is mandatory</v>
      </c>
    </row>
    <row r="1497" spans="7:11">
      <c r="G1497" s="250" t="b">
        <f>IF(OR(INDEX(IHZ_HAZ_DGCLASSIFI,240,1)="IMDG",),AND(INDEX(IHZ_HAZ_IMOHAZARDC,240,1)&lt;&gt;"",INDEX(IHZ_HAZ_UNNUMBER,240,1)&lt;&gt;""),TRUE)</f>
        <v>1</v>
      </c>
      <c r="H1497" s="52" t="str">
        <f t="shared" si="47"/>
        <v>Row 240 - If ‘DG classification’ is ‘IMDG’ the ‘IMO Hazard Class’ and ‘UN Number’ is mandatory</v>
      </c>
      <c r="J1497" s="52" t="b">
        <f>IF(OR(INDEX(OHZ_HAZ_DGCLASSIFI,240,1)="IMDG",),AND(INDEX(OHZ_HAZ_IMOHAZARDC,240,1)&lt;&gt;"",INDEX(OHZ_HAZ_UNNUMBER,240,1)&lt;&gt;""),TRUE)</f>
        <v>1</v>
      </c>
      <c r="K1497" s="52" t="str">
        <f t="shared" si="48"/>
        <v>Row 240 - If ‘DG classification’ is ‘IMDG’ the ‘IMO Hazard Class’ and ‘UN Number’ is mandatory</v>
      </c>
    </row>
    <row r="1498" spans="7:11">
      <c r="G1498" s="250" t="b">
        <f>IF(OR(INDEX(IHZ_HAZ_DGCLASSIFI,241,1)="IMDG",),AND(INDEX(IHZ_HAZ_IMOHAZARDC,241,1)&lt;&gt;"",INDEX(IHZ_HAZ_UNNUMBER,241,1)&lt;&gt;""),TRUE)</f>
        <v>1</v>
      </c>
      <c r="H1498" s="52" t="str">
        <f t="shared" si="47"/>
        <v>Row 241 - If ‘DG classification’ is ‘IMDG’ the ‘IMO Hazard Class’ and ‘UN Number’ is mandatory</v>
      </c>
      <c r="J1498" s="52" t="b">
        <f>IF(OR(INDEX(OHZ_HAZ_DGCLASSIFI,241,1)="IMDG",),AND(INDEX(OHZ_HAZ_IMOHAZARDC,241,1)&lt;&gt;"",INDEX(OHZ_HAZ_UNNUMBER,241,1)&lt;&gt;""),TRUE)</f>
        <v>1</v>
      </c>
      <c r="K1498" s="52" t="str">
        <f t="shared" si="48"/>
        <v>Row 241 - If ‘DG classification’ is ‘IMDG’ the ‘IMO Hazard Class’ and ‘UN Number’ is mandatory</v>
      </c>
    </row>
    <row r="1499" spans="7:11">
      <c r="G1499" s="250" t="b">
        <f>IF(OR(INDEX(IHZ_HAZ_DGCLASSIFI,242,1)="IMDG",),AND(INDEX(IHZ_HAZ_IMOHAZARDC,242,1)&lt;&gt;"",INDEX(IHZ_HAZ_UNNUMBER,242,1)&lt;&gt;""),TRUE)</f>
        <v>1</v>
      </c>
      <c r="H1499" s="52" t="str">
        <f t="shared" si="47"/>
        <v>Row 242 - If ‘DG classification’ is ‘IMDG’ the ‘IMO Hazard Class’ and ‘UN Number’ is mandatory</v>
      </c>
      <c r="J1499" s="52" t="b">
        <f>IF(OR(INDEX(OHZ_HAZ_DGCLASSIFI,242,1)="IMDG",),AND(INDEX(OHZ_HAZ_IMOHAZARDC,242,1)&lt;&gt;"",INDEX(OHZ_HAZ_UNNUMBER,242,1)&lt;&gt;""),TRUE)</f>
        <v>1</v>
      </c>
      <c r="K1499" s="52" t="str">
        <f t="shared" si="48"/>
        <v>Row 242 - If ‘DG classification’ is ‘IMDG’ the ‘IMO Hazard Class’ and ‘UN Number’ is mandatory</v>
      </c>
    </row>
    <row r="1500" spans="7:11">
      <c r="G1500" s="250" t="b">
        <f>IF(OR(INDEX(IHZ_HAZ_DGCLASSIFI,243,1)="IMDG",),AND(INDEX(IHZ_HAZ_IMOHAZARDC,243,1)&lt;&gt;"",INDEX(IHZ_HAZ_UNNUMBER,243,1)&lt;&gt;""),TRUE)</f>
        <v>1</v>
      </c>
      <c r="H1500" s="52" t="str">
        <f t="shared" si="47"/>
        <v>Row 243 - If ‘DG classification’ is ‘IMDG’ the ‘IMO Hazard Class’ and ‘UN Number’ is mandatory</v>
      </c>
      <c r="J1500" s="52" t="b">
        <f>IF(OR(INDEX(OHZ_HAZ_DGCLASSIFI,243,1)="IMDG",),AND(INDEX(OHZ_HAZ_IMOHAZARDC,243,1)&lt;&gt;"",INDEX(OHZ_HAZ_UNNUMBER,243,1)&lt;&gt;""),TRUE)</f>
        <v>1</v>
      </c>
      <c r="K1500" s="52" t="str">
        <f t="shared" si="48"/>
        <v>Row 243 - If ‘DG classification’ is ‘IMDG’ the ‘IMO Hazard Class’ and ‘UN Number’ is mandatory</v>
      </c>
    </row>
    <row r="1501" spans="7:11">
      <c r="G1501" s="250" t="b">
        <f>IF(OR(INDEX(IHZ_HAZ_DGCLASSIFI,244,1)="IMDG",),AND(INDEX(IHZ_HAZ_IMOHAZARDC,244,1)&lt;&gt;"",INDEX(IHZ_HAZ_UNNUMBER,244,1)&lt;&gt;""),TRUE)</f>
        <v>1</v>
      </c>
      <c r="H1501" s="52" t="str">
        <f t="shared" si="47"/>
        <v>Row 244 - If ‘DG classification’ is ‘IMDG’ the ‘IMO Hazard Class’ and ‘UN Number’ is mandatory</v>
      </c>
      <c r="J1501" s="52" t="b">
        <f>IF(OR(INDEX(OHZ_HAZ_DGCLASSIFI,244,1)="IMDG",),AND(INDEX(OHZ_HAZ_IMOHAZARDC,244,1)&lt;&gt;"",INDEX(OHZ_HAZ_UNNUMBER,244,1)&lt;&gt;""),TRUE)</f>
        <v>1</v>
      </c>
      <c r="K1501" s="52" t="str">
        <f t="shared" si="48"/>
        <v>Row 244 - If ‘DG classification’ is ‘IMDG’ the ‘IMO Hazard Class’ and ‘UN Number’ is mandatory</v>
      </c>
    </row>
    <row r="1502" spans="7:11">
      <c r="G1502" s="250" t="b">
        <f>IF(OR(INDEX(IHZ_HAZ_DGCLASSIFI,245,1)="IMDG",),AND(INDEX(IHZ_HAZ_IMOHAZARDC,245,1)&lt;&gt;"",INDEX(IHZ_HAZ_UNNUMBER,245,1)&lt;&gt;""),TRUE)</f>
        <v>1</v>
      </c>
      <c r="H1502" s="52" t="str">
        <f t="shared" si="47"/>
        <v>Row 245 - If ‘DG classification’ is ‘IMDG’ the ‘IMO Hazard Class’ and ‘UN Number’ is mandatory</v>
      </c>
      <c r="J1502" s="52" t="b">
        <f>IF(OR(INDEX(OHZ_HAZ_DGCLASSIFI,245,1)="IMDG",),AND(INDEX(OHZ_HAZ_IMOHAZARDC,245,1)&lt;&gt;"",INDEX(OHZ_HAZ_UNNUMBER,245,1)&lt;&gt;""),TRUE)</f>
        <v>1</v>
      </c>
      <c r="K1502" s="52" t="str">
        <f t="shared" si="48"/>
        <v>Row 245 - If ‘DG classification’ is ‘IMDG’ the ‘IMO Hazard Class’ and ‘UN Number’ is mandatory</v>
      </c>
    </row>
    <row r="1503" spans="7:11">
      <c r="G1503" s="250" t="b">
        <f>IF(OR(INDEX(IHZ_HAZ_DGCLASSIFI,246,1)="IMDG",),AND(INDEX(IHZ_HAZ_IMOHAZARDC,246,1)&lt;&gt;"",INDEX(IHZ_HAZ_UNNUMBER,246,1)&lt;&gt;""),TRUE)</f>
        <v>1</v>
      </c>
      <c r="H1503" s="52" t="str">
        <f t="shared" si="47"/>
        <v>Row 246 - If ‘DG classification’ is ‘IMDG’ the ‘IMO Hazard Class’ and ‘UN Number’ is mandatory</v>
      </c>
      <c r="J1503" s="52" t="b">
        <f>IF(OR(INDEX(OHZ_HAZ_DGCLASSIFI,246,1)="IMDG",),AND(INDEX(OHZ_HAZ_IMOHAZARDC,246,1)&lt;&gt;"",INDEX(OHZ_HAZ_UNNUMBER,246,1)&lt;&gt;""),TRUE)</f>
        <v>1</v>
      </c>
      <c r="K1503" s="52" t="str">
        <f t="shared" si="48"/>
        <v>Row 246 - If ‘DG classification’ is ‘IMDG’ the ‘IMO Hazard Class’ and ‘UN Number’ is mandatory</v>
      </c>
    </row>
    <row r="1504" spans="7:11">
      <c r="G1504" s="250" t="b">
        <f>IF(OR(INDEX(IHZ_HAZ_DGCLASSIFI,247,1)="IMDG",),AND(INDEX(IHZ_HAZ_IMOHAZARDC,247,1)&lt;&gt;"",INDEX(IHZ_HAZ_UNNUMBER,247,1)&lt;&gt;""),TRUE)</f>
        <v>1</v>
      </c>
      <c r="H1504" s="52" t="str">
        <f t="shared" si="47"/>
        <v>Row 247 - If ‘DG classification’ is ‘IMDG’ the ‘IMO Hazard Class’ and ‘UN Number’ is mandatory</v>
      </c>
      <c r="J1504" s="52" t="b">
        <f>IF(OR(INDEX(OHZ_HAZ_DGCLASSIFI,247,1)="IMDG",),AND(INDEX(OHZ_HAZ_IMOHAZARDC,247,1)&lt;&gt;"",INDEX(OHZ_HAZ_UNNUMBER,247,1)&lt;&gt;""),TRUE)</f>
        <v>1</v>
      </c>
      <c r="K1504" s="52" t="str">
        <f t="shared" si="48"/>
        <v>Row 247 - If ‘DG classification’ is ‘IMDG’ the ‘IMO Hazard Class’ and ‘UN Number’ is mandatory</v>
      </c>
    </row>
    <row r="1505" spans="7:11">
      <c r="G1505" s="250" t="b">
        <f>IF(OR(INDEX(IHZ_HAZ_DGCLASSIFI,248,1)="IMDG",),AND(INDEX(IHZ_HAZ_IMOHAZARDC,248,1)&lt;&gt;"",INDEX(IHZ_HAZ_UNNUMBER,248,1)&lt;&gt;""),TRUE)</f>
        <v>1</v>
      </c>
      <c r="H1505" s="52" t="str">
        <f t="shared" si="47"/>
        <v>Row 248 - If ‘DG classification’ is ‘IMDG’ the ‘IMO Hazard Class’ and ‘UN Number’ is mandatory</v>
      </c>
      <c r="J1505" s="52" t="b">
        <f>IF(OR(INDEX(OHZ_HAZ_DGCLASSIFI,248,1)="IMDG",),AND(INDEX(OHZ_HAZ_IMOHAZARDC,248,1)&lt;&gt;"",INDEX(OHZ_HAZ_UNNUMBER,248,1)&lt;&gt;""),TRUE)</f>
        <v>1</v>
      </c>
      <c r="K1505" s="52" t="str">
        <f t="shared" si="48"/>
        <v>Row 248 - If ‘DG classification’ is ‘IMDG’ the ‘IMO Hazard Class’ and ‘UN Number’ is mandatory</v>
      </c>
    </row>
    <row r="1506" spans="7:11">
      <c r="G1506" s="250" t="b">
        <f>IF(OR(INDEX(IHZ_HAZ_DGCLASSIFI,249,1)="IMDG",),AND(INDEX(IHZ_HAZ_IMOHAZARDC,249,1)&lt;&gt;"",INDEX(IHZ_HAZ_UNNUMBER,249,1)&lt;&gt;""),TRUE)</f>
        <v>1</v>
      </c>
      <c r="H1506" s="52" t="str">
        <f t="shared" si="47"/>
        <v>Row 249 - If ‘DG classification’ is ‘IMDG’ the ‘IMO Hazard Class’ and ‘UN Number’ is mandatory</v>
      </c>
      <c r="J1506" s="52" t="b">
        <f>IF(OR(INDEX(OHZ_HAZ_DGCLASSIFI,249,1)="IMDG",),AND(INDEX(OHZ_HAZ_IMOHAZARDC,249,1)&lt;&gt;"",INDEX(OHZ_HAZ_UNNUMBER,249,1)&lt;&gt;""),TRUE)</f>
        <v>1</v>
      </c>
      <c r="K1506" s="52" t="str">
        <f t="shared" si="48"/>
        <v>Row 249 - If ‘DG classification’ is ‘IMDG’ the ‘IMO Hazard Class’ and ‘UN Number’ is mandatory</v>
      </c>
    </row>
    <row r="1507" spans="7:11">
      <c r="G1507" s="250" t="b">
        <f>IF(OR(INDEX(IHZ_HAZ_DGCLASSIFI,250,1)="IMDG",),AND(INDEX(IHZ_HAZ_IMOHAZARDC,250,1)&lt;&gt;"",INDEX(IHZ_HAZ_UNNUMBER,250,1)&lt;&gt;""),TRUE)</f>
        <v>1</v>
      </c>
      <c r="H1507" s="52" t="str">
        <f t="shared" si="47"/>
        <v>Row 250 - If ‘DG classification’ is ‘IMDG’ the ‘IMO Hazard Class’ and ‘UN Number’ is mandatory</v>
      </c>
      <c r="J1507" s="52" t="b">
        <f>IF(OR(INDEX(OHZ_HAZ_DGCLASSIFI,250,1)="IMDG",),AND(INDEX(OHZ_HAZ_IMOHAZARDC,250,1)&lt;&gt;"",INDEX(OHZ_HAZ_UNNUMBER,250,1)&lt;&gt;""),TRUE)</f>
        <v>1</v>
      </c>
      <c r="K1507" s="52" t="str">
        <f t="shared" si="48"/>
        <v>Row 250 - If ‘DG classification’ is ‘IMDG’ the ‘IMO Hazard Class’ and ‘UN Number’ is mandatory</v>
      </c>
    </row>
    <row r="1508" spans="7:11">
      <c r="G1508" s="250" t="b">
        <f>OR(IHZ_DET_HAZONBOARD="",COUNTIF(REF_YES_NO,IHZ_DET_HAZONBOARD)=1)</f>
        <v>1</v>
      </c>
      <c r="H1508" s="239" t="s">
        <v>2001</v>
      </c>
      <c r="J1508" s="250" t="b">
        <f>OR(OHZ_DET_HAZONBOARD="",COUNTIF(REF_YES_NO,OHZ_DET_HAZONBOARD)=1)</f>
        <v>1</v>
      </c>
      <c r="K1508" s="239" t="s">
        <v>2001</v>
      </c>
    </row>
    <row r="1509" spans="7:11">
      <c r="G1509" s="250" t="b">
        <f>OR(IHZ_DET_INFSHIPCLA="",COUNTIF(INF_ship_classes,IHZ_DET_INFSHIPCLA)=1)</f>
        <v>1</v>
      </c>
      <c r="H1509" s="239" t="s">
        <v>2002</v>
      </c>
      <c r="J1509" s="250" t="b">
        <f>OR(OHZ_DET_INFSHIPCLA="",COUNTIF(INF_ship_classes,OHZ_DET_INFSHIPCLA)=1)</f>
        <v>1</v>
      </c>
      <c r="K1509" s="239" t="s">
        <v>2002</v>
      </c>
    </row>
    <row r="1510" spans="7:11">
      <c r="G1510" s="313" t="b">
        <f>LEN(IHZ_CON_FIRSTNAME)&lt;50</f>
        <v>1</v>
      </c>
      <c r="H1510" s="239" t="s">
        <v>2003</v>
      </c>
      <c r="J1510" s="313" t="b">
        <f>LEN(INDEX(OHZ_CON_FIRSTNAME,1,1))&lt;50</f>
        <v>1</v>
      </c>
      <c r="K1510" s="239" t="s">
        <v>2003</v>
      </c>
    </row>
    <row r="1511" spans="7:11">
      <c r="G1511" s="313" t="b">
        <f>LEN(IHZ_CON_LASTNAME)&lt;50</f>
        <v>1</v>
      </c>
      <c r="H1511" s="239" t="s">
        <v>2004</v>
      </c>
      <c r="J1511" s="313" t="b">
        <f>LEN(INDEX(OHZ_CON_LASTNAME,1,1))&lt;50</f>
        <v>1</v>
      </c>
      <c r="K1511" s="239" t="s">
        <v>2004</v>
      </c>
    </row>
    <row r="1512" spans="7:11">
      <c r="G1512" s="313" t="e">
        <f>OR(IHZ_CON_LOCODE="",COUNTIF(REF_LOCODES,IHZ_CON_LOCODE)&lt;&gt;0)</f>
        <v>#NAME?</v>
      </c>
      <c r="H1512" s="239" t="s">
        <v>2005</v>
      </c>
      <c r="J1512" s="313" t="e">
        <f>OR(INDEX(OHZ_CON_LOCODE,1,1)="",COUNTIF(REF_LOCODES,INDEX(OHZ_CON_LOCODE,1,1))&lt;&gt;0)</f>
        <v>#NAME?</v>
      </c>
      <c r="K1512" s="239" t="s">
        <v>2005</v>
      </c>
    </row>
    <row r="1513" spans="7:11">
      <c r="G1513" s="317" t="b">
        <f ca="1">OR(AND(ISNUMBER(SUMPRODUCT(SEARCH(MID(INDEX(IHZ_CON_PHONE,1,1),ROW(INDIRECT("1:"&amp;LEN(INDEX(IHZ_CON_PHONE,1,1)))),1),"0123456789+"))),LEN(INDEX(IHZ_CON_PHONE,1,1))&lt;=16),INDEX(IHZ_CON_PHONE,1,1)="")</f>
        <v>1</v>
      </c>
      <c r="H1513" s="239" t="s">
        <v>2007</v>
      </c>
      <c r="J1513" s="317" t="b">
        <f ca="1">OR(AND(ISNUMBER(SUMPRODUCT(SEARCH(MID(INDEX(OHZ_CON_PHONE,1,1),ROW(INDIRECT("1:"&amp;LEN(INDEX(OHZ_CON_PHONE,1,1)))),1),"0123456789+"))),LEN(INDEX(OHZ_CON_PHONE,1,1))&lt;=16),INDEX(OHZ_CON_PHONE,1,1)="")</f>
        <v>1</v>
      </c>
      <c r="K1513" s="239" t="s">
        <v>2007</v>
      </c>
    </row>
    <row r="1514" spans="7:11">
      <c r="G1514" s="317" t="b">
        <f ca="1">OR(AND(ISNUMBER(SUMPRODUCT(SEARCH(MID(INDEX(IHZ_CON_FAX,1,1),ROW(INDIRECT("1:"&amp;LEN(INDEX(IHZ_CON_FAX,1,1)))),1),"0123456789+"))),LEN(INDEX(IHZ_CON_FAX,1,1))&lt;=16),INDEX(IHZ_CON_FAX,1,1)="")</f>
        <v>1</v>
      </c>
      <c r="H1514" s="239" t="s">
        <v>2006</v>
      </c>
      <c r="J1514" s="317" t="b">
        <f ca="1">OR(AND(ISNUMBER(SUMPRODUCT(SEARCH(MID(INDEX(OHZ_CON_FAX,1,1),ROW(INDIRECT("1:"&amp;LEN(INDEX(OHZ_CON_FAX,1,1)))),1),"0123456789+"))),LEN(INDEX(OHZ_CON_FAX,1,1))&lt;=16),INDEX(OHZ_CON_FAX,1,1)="")</f>
        <v>1</v>
      </c>
      <c r="K1514" s="239" t="s">
        <v>2006</v>
      </c>
    </row>
    <row r="1515" spans="7:11">
      <c r="G1515" s="313" t="b">
        <f>IF(OR(ISBLANK(INDEX(IHZ_CON_EMAIL,1,1)),AND(NOT(ISERROR(SEARCH("@",INDEX(IHZ_CON_EMAIL,1,1)))),ISERROR(SEARCH(" ",INDEX(IHZ_CON_EMAIL,1,1))),LEN(INDEX(IHZ_CON_EMAIL,1,1))&lt;=50)),TRUE(),FALSE())</f>
        <v>1</v>
      </c>
      <c r="H1515" s="239" t="s">
        <v>2008</v>
      </c>
      <c r="J1515" s="313" t="b">
        <f>IF(OR(ISBLANK(INDEX(OHZ_CON_EMAIL,1,1)),AND(NOT(ISERROR(SEARCH("@",INDEX(OHZ_CON_EMAIL,1,1)))),ISERROR(SEARCH(" ",INDEX(OHZ_CON_EMAIL,1,1))),LEN(INDEX(OHZ_CON_EMAIL,1,1))&lt;=50)),TRUE(),FALSE())</f>
        <v>1</v>
      </c>
      <c r="K1515" s="239" t="s">
        <v>2008</v>
      </c>
    </row>
    <row r="1516" spans="7:11">
      <c r="G1516" s="315" t="b">
        <f>IF(AND(LEFT(INDEX(IHZ_DET_URL,1,1),8)="https://",ISNUMBER(SEARCH(".",INDEX(IHZ_DET_URL,1,1)))),TRUE(),INDEX(IHZ_DET_URL,1,1)="")</f>
        <v>1</v>
      </c>
      <c r="H1516" s="239" t="s">
        <v>2009</v>
      </c>
      <c r="J1516" s="316" t="b">
        <f>IF(AND(LEFT(INDEX(OHZ_DET_URL,1,1),8)="https://",ISNUMBER(SEARCH(".",INDEX(OHZ_DET_URL,1,1)))),TRUE(),INDEX(OHZ_DET_URL,1,1)="")</f>
        <v>1</v>
      </c>
      <c r="K1516" s="239" t="s">
        <v>2009</v>
      </c>
    </row>
    <row r="1517" spans="7:11">
      <c r="G1517" s="250" t="b">
        <f>OR(INDEX(IHZ_DET_DOCTYPE,1,1)="",COUNTIF(REF_DOCTYPES,INDEX(IHZ_DET_DOCTYPE,1,1))=1)</f>
        <v>1</v>
      </c>
      <c r="H1517" s="239" t="s">
        <v>2010</v>
      </c>
      <c r="J1517" s="250" t="b">
        <f>OR(INDEX(OHZ_DET_DOCTYPE,1,1)="",COUNTIF(REF_DOCTYPES,INDEX(OHZ_DET_DOCTYPE,1,1))=1)</f>
        <v>1</v>
      </c>
      <c r="K1517" s="239" t="s">
        <v>2010</v>
      </c>
    </row>
    <row r="1518" spans="7:11">
      <c r="G1518" s="250" t="b">
        <f>OR(_xlfn.ISFORMULA(INDEX(IHZ_HAZ_CONSIGNMENT,1,1)),AND(INDEX(IHZ_HAZ_CONSIGNMENT,1,1)=INT(INDEX(IHZ_HAZ_CONSIGNMENT,1,1)),INDEX(IHZ_HAZ_CONSIGNMENT,1,1)&lt;1000))</f>
        <v>1</v>
      </c>
      <c r="H1518" s="334" t="s">
        <v>2037</v>
      </c>
      <c r="J1518" s="250" t="b">
        <f>OR(_xlfn.ISFORMULA(INDEX(OHZ_HAZ_CONSIGNMENT,1,1)),AND(INDEX(OHZ_HAZ_CONSIGNMENT,1,1)=INT(INDEX(OHZ_HAZ_CONSIGNMENT,1,1)),INDEX(OHZ_HAZ_CONSIGNMENT,1,1)&lt;1000))</f>
        <v>1</v>
      </c>
      <c r="K1518" s="334" t="s">
        <v>2037</v>
      </c>
    </row>
    <row r="1519" spans="7:11" ht="12.75" customHeight="1">
      <c r="G1519" s="250" t="b">
        <f>SUMPRODUCT(--(LEN(IHZ_HAZ_TRANSDOCID)&gt;35))=0</f>
        <v>1</v>
      </c>
      <c r="H1519" s="335" t="s">
        <v>2038</v>
      </c>
      <c r="J1519" s="250" t="b">
        <f>SUMPRODUCT(--(LEN(OHZ_HAZ_TRANSDOCID)&gt;35))=0</f>
        <v>1</v>
      </c>
      <c r="K1519" s="335" t="s">
        <v>2038</v>
      </c>
    </row>
    <row r="1520" spans="7:11">
      <c r="G1520" s="250" t="e">
        <f>OR(INDEX(IHZ_HAZ_PORTOFLOADING,1,1)="",COUNTIF(LOCODE,INDEX(IHZ_HAZ_PORTOFLOADING,1,1))=1)</f>
        <v>#NAME?</v>
      </c>
      <c r="H1520" s="335" t="s">
        <v>2039</v>
      </c>
      <c r="J1520" s="250" t="e">
        <f>OR(INDEX(OHZ_HAZ_PORTOFLOADING,1,1)="",COUNTIF(LOCODE,INDEX(OHZ_HAZ_PORTOFLOADING,1,1))=1)</f>
        <v>#NAME?</v>
      </c>
      <c r="K1520" s="335" t="s">
        <v>2039</v>
      </c>
    </row>
    <row r="1521" spans="7:11">
      <c r="G1521" s="250" t="e">
        <f>OR(INDEX(IHZ_HAZ_PORTOFDISCHARGE,1,1)="",COUNTIF(LOCODE,INDEX(IHZ_HAZ_PORTOFDISCHARGE,1,1))=1)</f>
        <v>#NAME?</v>
      </c>
      <c r="H1521" s="336" t="s">
        <v>2040</v>
      </c>
      <c r="J1521" s="250" t="e">
        <f>OR(INDEX(OHZ_HAZ_PORTOFDISCHARGE,1,1)="",COUNTIF(LOCODE,INDEX(OHZ_HAZ_PORTOFDISCHARGE,1,1))=1)</f>
        <v>#NAME?</v>
      </c>
      <c r="K1521" s="336" t="s">
        <v>2040</v>
      </c>
    </row>
    <row r="1522" spans="7:11">
      <c r="G1522" s="250" t="b">
        <f>OR(_xlfn.ISFORMULA(INDEX(IHZ_HAZ_DPGREF,1,1)),AND(INDEX(IHZ_HAZ_DPGREF,1,1)=INT(INDEX(IHZ_HAZ_DPGREF,1,1)),INDEX(IHZ_HAZ_DPGREF,1,1)&lt;1000))</f>
        <v>1</v>
      </c>
      <c r="H1522" s="337" t="s">
        <v>2041</v>
      </c>
      <c r="J1522" s="250" t="b">
        <f>OR(_xlfn.ISFORMULA(INDEX(OHZ_HAZ_DPGREF,1,1)),AND(INDEX(OHZ_HAZ_DPGREF,1,1)=INT(INDEX(OHZ_HAZ_DPGREF,1,1)),INDEX(OHZ_HAZ_DPGREF,1,1)&lt;1000))</f>
        <v>1</v>
      </c>
      <c r="K1522" s="337" t="s">
        <v>2041</v>
      </c>
    </row>
    <row r="1523" spans="7:11">
      <c r="G1523" s="250" t="b">
        <f>OR(INDEX(IHZ_HAZ_DGCLASSIFI,1,1)="",COUNTIF(REF_DG_CLASSIFICATION,INDEX(IHZ_HAZ_DGCLASSIFI,1,1))=1)</f>
        <v>1</v>
      </c>
      <c r="H1523" s="338" t="s">
        <v>2043</v>
      </c>
      <c r="J1523" s="250" t="b">
        <f>OR(INDEX(OHZ_HAZ_DGCLASSIFI,1,1)="",COUNTIF(REF_DG_CLASSIFICATION,INDEX(OHZ_HAZ_DGCLASSIFI,1,1))=1)</f>
        <v>1</v>
      </c>
      <c r="K1523" s="338" t="s">
        <v>2043</v>
      </c>
    </row>
    <row r="1524" spans="7:11">
      <c r="G1524" s="250" t="b">
        <f>SUMPRODUCT(--(LEN(IHZ_HAZ_TEXTUALREF)&gt;351))=0</f>
        <v>1</v>
      </c>
      <c r="H1524" s="335" t="s">
        <v>2042</v>
      </c>
      <c r="J1524" s="250" t="b">
        <f>SUMPRODUCT(--(LEN(OHZ_HAZ_TEXTUALREF)&gt;351))=0</f>
        <v>1</v>
      </c>
      <c r="K1524" s="335" t="s">
        <v>2042</v>
      </c>
    </row>
    <row r="1525" spans="7:11">
      <c r="G1525" s="250" t="b">
        <f>SUMPRODUCT(--(LEN(IHZ_HAZ_IMOHAZARDC)&gt;8))=0</f>
        <v>1</v>
      </c>
      <c r="H1525" s="335" t="s">
        <v>2044</v>
      </c>
      <c r="J1525" s="250" t="b">
        <f>SUMPRODUCT(--(LEN(OHZ_HAZ_IMOHAZARDC)&gt;8))=0</f>
        <v>1</v>
      </c>
      <c r="K1525" s="335" t="s">
        <v>2044</v>
      </c>
    </row>
    <row r="1526" spans="7:11">
      <c r="G1526" s="250" t="b">
        <f>OR(LEN(INDEX(IHZ_HAZ_UNNUMBER,1,1))=4,LEN(INDEX(IHZ_HAZ_UNNUMBER,1,1))=0,_xlfn.ISFORMULA(INDEX(OHZ_HAZ_UNNUMBER,1,1)))</f>
        <v>1</v>
      </c>
      <c r="H1526" s="335" t="s">
        <v>2045</v>
      </c>
      <c r="J1526" s="250" t="b">
        <f>OR(LEN(INDEX(OHZ_HAZ_UNNUMBER,1,1))=4,LEN(INDEX(OHZ_HAZ_UNNUMBER,1,1))=0,_xlfn.ISFORMULA(INDEX(OHZ_HAZ_UNNUMBER,1,1)))</f>
        <v>1</v>
      </c>
      <c r="K1526" s="335" t="s">
        <v>2045</v>
      </c>
    </row>
    <row r="1527" spans="7:11">
      <c r="G1527" s="250"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527" s="339" t="s">
        <v>2046</v>
      </c>
      <c r="J1527" s="250"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527" s="339" t="s">
        <v>2046</v>
      </c>
    </row>
    <row r="1528" spans="7:11">
      <c r="G1528" s="250" t="b">
        <f>OR(INDEX(IHZ_HAZ_TOTNETGROSS,1,1)="Net",INDEX(IHZ_HAZ_TOTNETGROSS,1,1)="Gross",INDEX(IHZ_HAZ_TOTNETGROSS,1,1)="")</f>
        <v>1</v>
      </c>
      <c r="H1528" s="336" t="s">
        <v>2047</v>
      </c>
      <c r="J1528" s="250" t="b">
        <f>OR(INDEX(OHZ_HAZ_TOTNETGROSS,1,1)="Net",INDEX(OHZ_HAZ_TOTNETGROSS,1,1)="Gross",INDEX(OHZ_HAZ_TOTNETGROSS,1,1)="")</f>
        <v>1</v>
      </c>
      <c r="K1528" s="336" t="s">
        <v>2047</v>
      </c>
    </row>
    <row r="1529" spans="7:11">
      <c r="G1529" s="333" t="b">
        <f>OR(INDEX(IHZ_HAZ_TOTUNIT,1,1)="",COUNTIF(Units_description,INDEX(IHZ_HAZ_TOTUNIT,1,1))=1)</f>
        <v>1</v>
      </c>
      <c r="H1529" s="335" t="s">
        <v>2048</v>
      </c>
      <c r="J1529" s="333" t="b">
        <f>OR(INDEX(OHZ_HAZ_TOTUNIT,1,1)="",COUNTIF(Units_description,INDEX(OHZ_HAZ_TOTUNIT,1,1))=1)</f>
        <v>1</v>
      </c>
      <c r="K1529" s="335" t="s">
        <v>2048</v>
      </c>
    </row>
    <row r="1530" spans="7:11">
      <c r="G1530" s="333" t="b">
        <f>OR(INDEX(IHZ_HAZ_PACKINGGRO,1,1)="",COUNTIF(REF_PACKING_GROUP,INDEX(IHZ_HAZ_PACKINGGRO,1,1))=1)</f>
        <v>1</v>
      </c>
      <c r="H1530" s="339" t="s">
        <v>2049</v>
      </c>
      <c r="J1530" s="333" t="b">
        <f>OR(INDEX(OHZ_HAZ_PACKINGGRO,1,1)="",COUNTIF(REF_PACKING_GROUP,INDEX(OHZ_HAZ_PACKINGGRO,1,1))=1)</f>
        <v>1</v>
      </c>
      <c r="K1530" s="339" t="s">
        <v>2049</v>
      </c>
    </row>
    <row r="1531" spans="7:11">
      <c r="G1531" s="333"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531" s="336" t="s">
        <v>2050</v>
      </c>
      <c r="J1531" s="333"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531" s="336" t="s">
        <v>2050</v>
      </c>
    </row>
    <row r="1532" spans="7:11">
      <c r="G1532" s="333" t="b">
        <f>OR(INDEX(IHZ_HAZ_MARPOLCODE,1,1)="",COUNTIF(MARPOL_codes,INDEX(IHZ_HAZ_MARPOLCODE,1,1))=1)</f>
        <v>1</v>
      </c>
      <c r="H1532" s="336" t="s">
        <v>2051</v>
      </c>
      <c r="J1532" s="333" t="b">
        <f>OR(INDEX(OHZ_HAZ_MARPOLCODE,1,1)="",COUNTIF(MARPOL_codes,INDEX(OHZ_HAZ_MARPOLCODE,1,1))=1)</f>
        <v>1</v>
      </c>
      <c r="K1532" s="336" t="s">
        <v>2051</v>
      </c>
    </row>
    <row r="1533" spans="7:11">
      <c r="G1533" s="333" t="b">
        <f>OR(INDEX(IHZ_HAZ_PACKAGECOD,1,1)="-",INDEX(IHZ_HAZ_PACKAGECOD,1,1)="",COUNTIF(Package_type_code,INDEX(IHZ_HAZ_PACKAGECOD,1,1))&lt;&gt;0)</f>
        <v>1</v>
      </c>
      <c r="H1533" s="336" t="s">
        <v>2052</v>
      </c>
      <c r="J1533" s="333" t="b">
        <f>OR(INDEX(OHZ_HAZ_PACKAGECOD,1,1)="-",INDEX(OHZ_HAZ_PACKAGECOD,1,1)="",COUNTIF(Package_type_code,INDEX(OHZ_HAZ_PACKAGECOD,1,1))&lt;&gt;0)</f>
        <v>1</v>
      </c>
      <c r="K1533" s="336" t="s">
        <v>2052</v>
      </c>
    </row>
    <row r="1534" spans="7:11">
      <c r="G1534" s="250" t="b">
        <f>OR(_xlfn.ISFORMULA(INDEX(IHZ_HAZ_TOTALPACKA,1,1)),AND(INT(INDEX(IHZ_HAZ_TOTALPACKA,1,1))=(INDEX(IHZ_HAZ_TOTALPACKA,1,1)),INDEX(IHZ_HAZ_TOTALPACKA,1,1)&lt;1000000000))</f>
        <v>1</v>
      </c>
      <c r="H1534" s="336" t="s">
        <v>2053</v>
      </c>
      <c r="J1534" s="250" t="b">
        <f>OR(_xlfn.ISFORMULA(INDEX(OHZ_HAZ_TOTALPACKA,1,1)),AND(INT(INDEX(OHZ_HAZ_TOTALPACKA,1,1))=(INDEX(OHZ_HAZ_TOTALPACKA,1,1)),INDEX(OHZ_HAZ_TOTALPACKA,1,1)&lt;1000000000))</f>
        <v>1</v>
      </c>
      <c r="K1534" s="336" t="s">
        <v>2053</v>
      </c>
    </row>
    <row r="1535" spans="7:11">
      <c r="G1535" s="250" t="b">
        <f>SUMPRODUCT(--(LEN(IHZ_HAZ_ADDITIONAL)&gt;35))=0</f>
        <v>1</v>
      </c>
      <c r="H1535" s="336" t="s">
        <v>2054</v>
      </c>
      <c r="J1535" s="250" t="b">
        <f>SUMPRODUCT(--(LEN(OHZ_HAZ_ADDITIONAL)&gt;35))=0</f>
        <v>1</v>
      </c>
      <c r="K1535" s="336" t="s">
        <v>2054</v>
      </c>
    </row>
    <row r="1536" spans="7:11">
      <c r="G1536" s="52"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536" s="336" t="s">
        <v>2055</v>
      </c>
      <c r="J1536" s="52"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536" s="336" t="s">
        <v>2055</v>
      </c>
    </row>
    <row r="1537" spans="7:11">
      <c r="G1537" s="52" t="b">
        <f>OR(ISBLANK(INDEX(IHZ_HAZ_SUBSIDIARY,1,1)),AND(LEN(INDEX(IHZ_HAZ_SUBSIDIARY,1,1))&lt;=89,LEN(INDEX(IHZ_HAZ_SUBSIDIARY,1,1))-LEN(SUBSTITUTE(INDEX(IHZ_HAZ_SUBSIDIARY,1,1),",",""))&lt;5))</f>
        <v>1</v>
      </c>
      <c r="H1537" s="340" t="s">
        <v>2056</v>
      </c>
      <c r="J1537" s="52" t="b">
        <f>OR(ISBLANK(INDEX(OHZ_HAZ_SUBSIDIARY,1,1)),AND(LEN(INDEX(OHZ_HAZ_SUBSIDIARY,1,1))&lt;=89,LEN(INDEX(OHZ_HAZ_SUBSIDIARY,1,1))-LEN(SUBSTITUTE(INDEX(OHZ_HAZ_SUBSIDIARY,1,1),",",""))&lt;5))</f>
        <v>1</v>
      </c>
      <c r="K1537" s="340" t="s">
        <v>2056</v>
      </c>
    </row>
    <row r="1538" spans="7:11">
      <c r="G1538" s="52" t="b">
        <f>OR(INDEX(IHZ_HAZ_UNITTYPE,1,1)="",INDEX(IHZ_HAZ_UNITTYPE,1,1)="TEU",INDEX(IHZ_HAZ_UNITTYPE,1,1)="Non-TEU")</f>
        <v>1</v>
      </c>
      <c r="H1538" s="334" t="s">
        <v>2057</v>
      </c>
      <c r="J1538" s="52" t="b">
        <f>OR(INDEX(OHZ_HAZ_UNITTYPE,1,1)="",INDEX(OHZ_HAZ_UNITTYPE,1,1)="TEU",INDEX(OHZ_HAZ_UNITTYPE,1,1)="Non-TEU")</f>
        <v>1</v>
      </c>
      <c r="K1538" s="334" t="s">
        <v>2057</v>
      </c>
    </row>
    <row r="1539" spans="7:11">
      <c r="G1539" s="250" t="b">
        <f>SUMPRODUCT(--(LEN(IHZ_HAZ_TEUID)&gt;28))=0</f>
        <v>1</v>
      </c>
      <c r="H1539" s="336" t="s">
        <v>2058</v>
      </c>
      <c r="J1539" s="250" t="b">
        <f>SUMPRODUCT(--(LEN(OHZ_HAZ_TEUID)&gt;28))=0</f>
        <v>1</v>
      </c>
      <c r="K1539" s="336" t="s">
        <v>2058</v>
      </c>
    </row>
    <row r="1540" spans="7:11">
      <c r="G1540" s="250" t="b">
        <f>SUMPRODUCT(--(LEN(IHZ_HAZ_LOCATION)&gt;26))=0</f>
        <v>1</v>
      </c>
      <c r="H1540" s="336" t="s">
        <v>2059</v>
      </c>
      <c r="J1540" s="250" t="b">
        <f>SUMPRODUCT(--(LEN(OHZ_HAZ_LOCATION)&gt;26))=0</f>
        <v>1</v>
      </c>
      <c r="K1540" s="336" t="s">
        <v>2059</v>
      </c>
    </row>
    <row r="1541" spans="7:11">
      <c r="G1541" s="250" t="b">
        <f>OR(_xlfn.ISFORMULA(INDEX(IHZ_HAZ_PACKAGES,1,1)),AND(INT(INDEX(IHZ_HAZ_PACKAGES,1,1))=INDEX(IHZ_HAZ_PACKAGES,1,1),INDEX(IHZ_HAZ_PACKAGES,1,1)&lt;1000000000))</f>
        <v>1</v>
      </c>
      <c r="H1541" s="336" t="s">
        <v>2060</v>
      </c>
      <c r="J1541" s="250" t="b">
        <f>OR(_xlfn.ISFORMULA(INDEX(OHZ_HAZ_PACKAGES,1,1)),AND(INT(INDEX(OHZ_HAZ_PACKAGES,1,1))=INDEX(OHZ_HAZ_PACKAGES,1,1),INDEX(OHZ_HAZ_PACKAGES,1,1)&lt;1000000000))</f>
        <v>1</v>
      </c>
      <c r="K1541" s="336" t="s">
        <v>2060</v>
      </c>
    </row>
    <row r="1542" spans="7:11">
      <c r="G1542" s="250" t="b">
        <f>OR(_xlfn.ISFORMULA(INDEX(IHZ_HAZ_AMOUNT,1,1)),IF(OR(ISBLANK(INDEX(IHZ_HAZ_AMOUNT,1,1)),AND(ISNUMBER(INDEX(IHZ_HAZ_AMOUNT,1,1)),LEN(INDEX(IHZ_HAZ_AMOUNT,1,1))-(IF(ISNUMBER(SEARCH(".",INDEX(IHZ_HAZ_AMOUNT,1,1))),SEARCH(".",INDEX(IHZ_HAZ_AMOUNT,1,1)),LEN(INDEX(IHZ_HAZ_AMOUNT,1,1))))&lt;=3,INDEX(IHZ_HAZ_AMOUNT,1,1)&lt;=9999999999999)),TRUE(),FALSE()))</f>
        <v>1</v>
      </c>
      <c r="H1542" s="336" t="s">
        <v>2061</v>
      </c>
      <c r="J1542" s="250" t="b">
        <f>OR(_xlfn.ISFORMULA(INDEX(OHZ_HAZ_AMOUNT,1,1)),IF(OR(ISBLANK(INDEX(OHZ_HAZ_AMOUNT,1,1)),AND(ISNUMBER(INDEX(OHZ_HAZ_AMOUNT,1,1)),LEN(INDEX(OHZ_HAZ_AMOUNT,1,1))-(IF(ISNUMBER(SEARCH(".",INDEX(OHZ_HAZ_AMOUNT,1,1))),SEARCH(".",INDEX(OHZ_HAZ_AMOUNT,1,1)),LEN(INDEX(OHZ_HAZ_AMOUNT,1,1))))&lt;=3,INDEX(OHZ_HAZ_AMOUNT,1,1)&lt;=9999999999999)),TRUE(),FALSE()))</f>
        <v>1</v>
      </c>
      <c r="K1542" s="336" t="s">
        <v>2061</v>
      </c>
    </row>
    <row r="1543" spans="7:11">
      <c r="G1543" s="250" t="b">
        <f>OR(INDEX(IHZ_HAZ_NETGROSS,1,1)="Net",INDEX(IHZ_HAZ_NETGROSS,1,1)="Gross",INDEX(IHZ_HAZ_NETGROSS,1,1)="")</f>
        <v>1</v>
      </c>
      <c r="H1543" s="336" t="s">
        <v>2062</v>
      </c>
      <c r="J1543" s="250" t="b">
        <f>OR(INDEX(OHZ_HAZ_NETGROSS,1,1)="Net",INDEX(OHZ_HAZ_NETGROSS,1,1)="Gross",INDEX(OHZ_HAZ_NETGROSS,1,1)="")</f>
        <v>1</v>
      </c>
      <c r="K1543" s="336" t="s">
        <v>2062</v>
      </c>
    </row>
    <row r="1544" spans="7:11">
      <c r="G1544" s="333" t="b">
        <f>OR(INDEX(IHZ_HAZ_UNIT,1,1)="",COUNTIF(Units_description,INDEX(IHZ_HAZ_UNIT,1,1))=1)</f>
        <v>1</v>
      </c>
      <c r="H1544" s="340" t="s">
        <v>2048</v>
      </c>
      <c r="J1544" s="333" t="b">
        <f>OR(INDEX(OHZ_HAZ_UNIT,1,1)="",COUNTIF(Units_description,INDEX(OHZ_HAZ_UNIT,1,1))=1)</f>
        <v>1</v>
      </c>
      <c r="K1544" s="340" t="s">
        <v>2048</v>
      </c>
    </row>
    <row r="1545" spans="7:11">
      <c r="G1545" s="250" t="b">
        <f>OR(INDEX(IHZ_HAZ_CONSIGNMENT,1,1)&lt;&gt;"",INDEX(IHZ_DET_HAZONBOARD,1,1)="No")</f>
        <v>0</v>
      </c>
      <c r="H1545" s="573" t="s">
        <v>2416</v>
      </c>
      <c r="J1545" s="250" t="b">
        <f>OR(INDEX(OHZ_HAZ_CONSIGNMENT,1,1)&lt;&gt;"",INDEX(OHZ_DET_HAZONBOARD,1,1)="No")</f>
        <v>0</v>
      </c>
      <c r="K1545" s="573" t="s">
        <v>2416</v>
      </c>
    </row>
  </sheetData>
  <sheetProtection algorithmName="SHA-512" hashValue="XptrsJTIvTrKWroclHeNxKl0pkY8QhI6SFZdXTuvvGTTcNUkWHHF8tbhXklXgoaXHKOYVEL0VpqWzriXnyi6ZQ==" saltValue="makdhNOquCGvzhA5Q6EPsA==" spinCount="100000" sheet="1" objects="1" scenarios="1"/>
  <dataValidations count="1">
    <dataValidation allowBlank="1" prompt="Security related matter to report, if any. Max. 255 characters." sqref="B57"/>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70C0"/>
    <pageSetUpPr fitToPage="1"/>
  </sheetPr>
  <dimension ref="A1:AA62"/>
  <sheetViews>
    <sheetView zoomScale="85" zoomScaleNormal="85" workbookViewId="0">
      <pane ySplit="3" topLeftCell="A4" activePane="bottomLeft" state="frozen"/>
      <selection pane="bottomLeft" activeCell="D6" sqref="D6"/>
    </sheetView>
  </sheetViews>
  <sheetFormatPr defaultColWidth="9.109375" defaultRowHeight="13.2"/>
  <cols>
    <col min="1" max="1" width="2.44140625" style="53" customWidth="1"/>
    <col min="2" max="2" width="10.109375" style="3" customWidth="1"/>
    <col min="3" max="3" width="25" style="264" customWidth="1"/>
    <col min="4" max="4" width="46.88671875" style="3" customWidth="1"/>
    <col min="5" max="5" width="10.109375" style="3" customWidth="1"/>
    <col min="6" max="6" width="14.33203125" style="22" customWidth="1"/>
    <col min="7" max="7" width="16.5546875" style="3" customWidth="1"/>
    <col min="8" max="8" width="12.6640625" style="3" customWidth="1"/>
    <col min="9" max="10" width="24.33203125" style="3" customWidth="1"/>
    <col min="11" max="11" width="36.5546875" style="3" customWidth="1"/>
    <col min="12" max="16384" width="9.109375" style="53"/>
  </cols>
  <sheetData>
    <row r="1" spans="1:27" s="157" customFormat="1" ht="4.5" customHeight="1">
      <c r="B1" s="394"/>
      <c r="C1" s="394"/>
      <c r="D1" s="394"/>
      <c r="E1" s="394"/>
      <c r="F1" s="395"/>
      <c r="G1" s="394"/>
      <c r="H1" s="394"/>
      <c r="I1" s="394"/>
      <c r="J1" s="394"/>
      <c r="K1" s="394"/>
    </row>
    <row r="2" spans="1:27" s="157" customFormat="1" ht="21">
      <c r="A2" s="154"/>
      <c r="B2" s="155" t="s">
        <v>1904</v>
      </c>
      <c r="C2" s="155"/>
      <c r="D2" s="155"/>
      <c r="E2" s="396"/>
      <c r="F2" s="396" t="s">
        <v>1965</v>
      </c>
      <c r="G2" s="397" t="str">
        <f>VES_STATUS</f>
        <v>Empty</v>
      </c>
      <c r="H2" s="398" t="str">
        <f>IFERROR(VES_VALID_RES,"")</f>
        <v>At least two of ‘IMO number’, ‘Ship name’, ‘Call sign’ and ‘MMSI number’ must be given</v>
      </c>
      <c r="I2" s="398"/>
      <c r="J2" s="398"/>
      <c r="K2" s="398"/>
      <c r="L2" s="398"/>
      <c r="M2" s="398"/>
      <c r="N2" s="398"/>
      <c r="O2" s="398"/>
      <c r="P2" s="398"/>
      <c r="Q2" s="398"/>
      <c r="R2" s="398"/>
      <c r="S2" s="398"/>
      <c r="T2" s="398"/>
      <c r="U2" s="398"/>
      <c r="V2" s="398"/>
      <c r="W2" s="398"/>
      <c r="X2" s="398"/>
      <c r="Y2" s="398"/>
      <c r="Z2" s="398"/>
      <c r="AA2" s="398"/>
    </row>
    <row r="3" spans="1:27" s="157" customFormat="1" ht="4.5" customHeight="1">
      <c r="B3" s="395"/>
      <c r="C3" s="395"/>
      <c r="D3" s="394"/>
      <c r="E3" s="399"/>
      <c r="F3" s="399"/>
      <c r="G3" s="399"/>
      <c r="H3" s="399"/>
      <c r="I3" s="400"/>
    </row>
    <row r="4" spans="1:27" s="379" customFormat="1" ht="12.75" customHeight="1" thickBot="1">
      <c r="B4" s="22"/>
      <c r="C4" s="22"/>
      <c r="D4" s="264"/>
      <c r="E4" s="48"/>
      <c r="F4" s="48"/>
      <c r="G4" s="48"/>
      <c r="H4" s="48"/>
      <c r="I4" s="19"/>
    </row>
    <row r="5" spans="1:27" ht="20.25" customHeight="1" thickTop="1">
      <c r="B5" s="635" t="s">
        <v>1905</v>
      </c>
      <c r="C5" s="636"/>
      <c r="D5" s="637"/>
      <c r="E5" s="48"/>
      <c r="F5" s="252"/>
      <c r="G5" s="252"/>
      <c r="H5" s="252"/>
      <c r="I5" s="252"/>
      <c r="J5" s="53"/>
      <c r="K5" s="53"/>
    </row>
    <row r="6" spans="1:27" ht="12" customHeight="1">
      <c r="B6" s="643" t="s">
        <v>2344</v>
      </c>
      <c r="C6" s="422" t="s">
        <v>1893</v>
      </c>
      <c r="D6" s="424"/>
      <c r="E6" s="641"/>
      <c r="F6" s="642"/>
      <c r="G6" s="642"/>
      <c r="H6" s="642"/>
      <c r="I6" s="49"/>
      <c r="J6" s="53"/>
      <c r="K6" s="53"/>
    </row>
    <row r="7" spans="1:27" ht="12" customHeight="1">
      <c r="B7" s="643"/>
      <c r="C7" s="423" t="s">
        <v>7</v>
      </c>
      <c r="D7" s="425"/>
      <c r="E7" s="641"/>
      <c r="F7" s="642"/>
      <c r="G7" s="642"/>
      <c r="H7" s="642"/>
      <c r="I7" s="49"/>
      <c r="J7" s="53"/>
      <c r="K7" s="53"/>
    </row>
    <row r="8" spans="1:27" ht="12" customHeight="1">
      <c r="B8" s="643"/>
      <c r="C8" s="423" t="s">
        <v>686</v>
      </c>
      <c r="D8" s="425"/>
      <c r="E8" s="641"/>
      <c r="F8" s="642"/>
      <c r="G8" s="642"/>
      <c r="H8" s="642"/>
      <c r="I8" s="49"/>
      <c r="J8" s="53"/>
      <c r="K8" s="53"/>
    </row>
    <row r="9" spans="1:27" ht="12" customHeight="1">
      <c r="B9" s="644"/>
      <c r="C9" s="443" t="s">
        <v>8</v>
      </c>
      <c r="D9" s="426"/>
      <c r="E9" s="641"/>
      <c r="F9" s="642"/>
      <c r="G9" s="642"/>
      <c r="H9" s="642"/>
      <c r="I9" s="49"/>
      <c r="J9" s="53"/>
      <c r="K9" s="53"/>
    </row>
    <row r="10" spans="1:27" ht="12" customHeight="1" thickBot="1">
      <c r="B10" s="444"/>
      <c r="C10" s="445" t="s">
        <v>47</v>
      </c>
      <c r="D10" s="362"/>
      <c r="E10" s="641"/>
      <c r="F10" s="642"/>
      <c r="G10" s="642"/>
      <c r="H10" s="642"/>
      <c r="I10" s="49"/>
      <c r="J10" s="53"/>
      <c r="K10" s="53"/>
    </row>
    <row r="11" spans="1:27" ht="6.75" customHeight="1" thickTop="1" thickBot="1">
      <c r="E11" s="19"/>
      <c r="F11" s="49"/>
      <c r="G11" s="49"/>
      <c r="H11" s="49"/>
      <c r="I11" s="49"/>
      <c r="J11" s="53"/>
      <c r="K11" s="53"/>
    </row>
    <row r="12" spans="1:27" ht="20.25" customHeight="1" thickTop="1">
      <c r="B12" s="635" t="s">
        <v>1906</v>
      </c>
      <c r="C12" s="636"/>
      <c r="D12" s="637"/>
      <c r="E12" s="19"/>
      <c r="F12" s="19"/>
      <c r="G12" s="19"/>
      <c r="H12" s="19"/>
      <c r="I12" s="19"/>
      <c r="J12" s="53"/>
      <c r="K12" s="53"/>
    </row>
    <row r="13" spans="1:27" ht="12" customHeight="1">
      <c r="B13" s="67" t="s">
        <v>53</v>
      </c>
      <c r="C13" s="384"/>
      <c r="D13" s="192"/>
      <c r="E13" s="19"/>
      <c r="F13" s="19"/>
      <c r="G13" s="19"/>
      <c r="H13" s="19"/>
      <c r="I13" s="19"/>
      <c r="J13" s="53"/>
      <c r="K13" s="53"/>
    </row>
    <row r="14" spans="1:27" ht="12" customHeight="1">
      <c r="B14" s="66" t="s">
        <v>54</v>
      </c>
      <c r="C14" s="206"/>
      <c r="D14" s="106"/>
      <c r="E14" s="53"/>
      <c r="F14" s="53"/>
      <c r="G14" s="53"/>
      <c r="H14" s="53"/>
      <c r="I14" s="53"/>
      <c r="J14" s="53"/>
      <c r="K14" s="53"/>
    </row>
    <row r="15" spans="1:27" ht="12" customHeight="1">
      <c r="B15" s="66" t="s">
        <v>642</v>
      </c>
      <c r="C15" s="206"/>
      <c r="D15" s="435" t="str">
        <f>IF(ISERROR(VLOOKUP(VES_VDE_SHIPTYPE, REF_SHIP_TYPE_TABLE[], 2,FALSE)),"Select ship type from cell above...",VLOOKUP(VES_VDE_SHIPTYPE, REF_SHIP_TYPE_TABLE[], 2,FALSE))</f>
        <v>Select ship type from cell above...</v>
      </c>
      <c r="E15" s="53"/>
      <c r="F15" s="53"/>
      <c r="G15" s="53"/>
      <c r="H15" s="53"/>
      <c r="I15" s="53"/>
      <c r="J15" s="53"/>
      <c r="K15" s="53"/>
    </row>
    <row r="16" spans="1:27" ht="15" customHeight="1">
      <c r="B16" s="66" t="s">
        <v>1579</v>
      </c>
      <c r="C16" s="206"/>
      <c r="D16" s="576"/>
      <c r="E16" s="53"/>
      <c r="F16" s="53"/>
      <c r="G16" s="527"/>
      <c r="H16" s="53"/>
      <c r="I16" s="53"/>
      <c r="J16" s="53"/>
      <c r="K16" s="53"/>
    </row>
    <row r="17" spans="2:11" ht="12" customHeight="1">
      <c r="B17" s="66" t="s">
        <v>1580</v>
      </c>
      <c r="C17" s="206"/>
      <c r="D17" s="576"/>
      <c r="E17" s="53"/>
      <c r="F17" s="53"/>
      <c r="G17" s="53"/>
      <c r="H17" s="53"/>
      <c r="I17" s="53"/>
      <c r="J17" s="53"/>
      <c r="K17" s="53"/>
    </row>
    <row r="18" spans="2:11" ht="12" customHeight="1" thickBot="1">
      <c r="B18" s="68" t="s">
        <v>1811</v>
      </c>
      <c r="C18" s="390"/>
      <c r="D18" s="536"/>
      <c r="E18" s="53"/>
      <c r="F18" s="53"/>
      <c r="G18" s="53"/>
      <c r="H18" s="53"/>
      <c r="I18" s="53"/>
      <c r="J18" s="53"/>
      <c r="K18" s="53"/>
    </row>
    <row r="19" spans="2:11" ht="6.75" customHeight="1" thickTop="1" thickBot="1">
      <c r="B19" s="22"/>
      <c r="C19" s="22"/>
      <c r="E19" s="53"/>
      <c r="F19" s="53"/>
      <c r="G19" s="53"/>
      <c r="H19" s="53"/>
      <c r="I19" s="53"/>
      <c r="J19" s="53"/>
      <c r="K19" s="53"/>
    </row>
    <row r="20" spans="2:11" ht="20.25" customHeight="1" thickTop="1">
      <c r="B20" s="635" t="s">
        <v>1907</v>
      </c>
      <c r="C20" s="636"/>
      <c r="D20" s="637"/>
      <c r="E20" s="53"/>
      <c r="F20" s="53"/>
      <c r="G20" s="53"/>
      <c r="H20" s="53"/>
      <c r="I20" s="53"/>
      <c r="J20" s="53"/>
      <c r="K20" s="53"/>
    </row>
    <row r="21" spans="2:11" ht="12" customHeight="1">
      <c r="B21" s="67" t="s">
        <v>55</v>
      </c>
      <c r="C21" s="384"/>
      <c r="D21" s="552"/>
      <c r="E21" s="53"/>
      <c r="F21" s="53"/>
      <c r="G21" s="53"/>
      <c r="H21" s="53"/>
      <c r="I21" s="53"/>
      <c r="J21" s="53"/>
      <c r="K21" s="53"/>
    </row>
    <row r="22" spans="2:11" ht="12" customHeight="1">
      <c r="B22" s="66" t="s">
        <v>56</v>
      </c>
      <c r="C22" s="206"/>
      <c r="D22" s="106"/>
      <c r="E22" s="53"/>
      <c r="F22" s="53"/>
      <c r="G22" s="53"/>
      <c r="H22" s="53"/>
      <c r="I22" s="53"/>
      <c r="J22" s="53"/>
      <c r="K22" s="53"/>
    </row>
    <row r="23" spans="2:11" ht="12" customHeight="1">
      <c r="B23" s="66" t="s">
        <v>14</v>
      </c>
      <c r="C23" s="206"/>
      <c r="D23" s="106"/>
      <c r="E23" s="53"/>
      <c r="F23" s="52"/>
      <c r="G23" s="52"/>
      <c r="H23" s="52"/>
      <c r="I23" s="53"/>
      <c r="J23" s="53"/>
      <c r="K23" s="53"/>
    </row>
    <row r="24" spans="2:11" ht="12" customHeight="1" thickBot="1">
      <c r="B24" s="68" t="s">
        <v>1587</v>
      </c>
      <c r="C24" s="390"/>
      <c r="D24" s="108"/>
      <c r="E24" s="53"/>
      <c r="F24" s="52"/>
      <c r="G24" s="52"/>
      <c r="H24" s="52"/>
      <c r="I24" s="53"/>
      <c r="J24" s="53"/>
      <c r="K24" s="53"/>
    </row>
    <row r="25" spans="2:11" ht="6.75" customHeight="1" thickTop="1" thickBot="1">
      <c r="B25" s="22"/>
      <c r="C25" s="22"/>
      <c r="E25" s="53"/>
      <c r="F25" s="52"/>
      <c r="G25" s="52"/>
      <c r="H25" s="52"/>
      <c r="I25" s="53"/>
      <c r="J25" s="53"/>
      <c r="K25" s="53"/>
    </row>
    <row r="26" spans="2:11" ht="20.25" customHeight="1" thickTop="1">
      <c r="B26" s="635" t="s">
        <v>633</v>
      </c>
      <c r="C26" s="636"/>
      <c r="D26" s="637"/>
      <c r="E26" s="53"/>
      <c r="F26" s="52"/>
      <c r="G26" s="52"/>
      <c r="H26" s="52"/>
      <c r="I26" s="53"/>
      <c r="J26" s="53"/>
      <c r="K26" s="53"/>
    </row>
    <row r="27" spans="2:11" ht="12" customHeight="1">
      <c r="B27" s="67" t="s">
        <v>635</v>
      </c>
      <c r="C27" s="384"/>
      <c r="D27" s="109"/>
      <c r="F27" s="640"/>
      <c r="G27" s="640"/>
      <c r="H27" s="640"/>
      <c r="I27" s="53"/>
      <c r="J27" s="53"/>
      <c r="K27" s="53"/>
    </row>
    <row r="28" spans="2:11" ht="12" customHeight="1">
      <c r="B28" s="66" t="s">
        <v>636</v>
      </c>
      <c r="C28" s="206"/>
      <c r="D28" s="106"/>
      <c r="F28" s="640"/>
      <c r="G28" s="640"/>
      <c r="H28" s="640"/>
      <c r="I28" s="53"/>
      <c r="J28" s="53"/>
      <c r="K28" s="53"/>
    </row>
    <row r="29" spans="2:11" ht="12" customHeight="1">
      <c r="B29" s="66" t="s">
        <v>637</v>
      </c>
      <c r="C29" s="206"/>
      <c r="D29" s="106"/>
      <c r="F29" s="640"/>
      <c r="G29" s="640"/>
      <c r="H29" s="640"/>
      <c r="I29" s="53"/>
      <c r="J29" s="53"/>
      <c r="K29" s="53"/>
    </row>
    <row r="30" spans="2:11" ht="12" customHeight="1">
      <c r="B30" s="66" t="s">
        <v>638</v>
      </c>
      <c r="C30" s="206"/>
      <c r="D30" s="106"/>
      <c r="F30" s="640"/>
      <c r="G30" s="640"/>
      <c r="H30" s="640"/>
      <c r="I30" s="53"/>
      <c r="J30" s="53"/>
      <c r="K30" s="53"/>
    </row>
    <row r="31" spans="2:11" ht="12" customHeight="1" thickBot="1">
      <c r="B31" s="68" t="s">
        <v>639</v>
      </c>
      <c r="C31" s="390"/>
      <c r="D31" s="108"/>
      <c r="F31" s="640"/>
      <c r="G31" s="640"/>
      <c r="H31" s="640"/>
      <c r="I31" s="53"/>
      <c r="J31" s="53"/>
      <c r="K31" s="53"/>
    </row>
    <row r="32" spans="2:11" ht="12" customHeight="1" thickTop="1">
      <c r="B32" s="638" t="s">
        <v>1857</v>
      </c>
      <c r="C32" s="638"/>
      <c r="D32" s="638"/>
      <c r="F32" s="1"/>
      <c r="G32" s="1"/>
      <c r="H32" s="1"/>
      <c r="I32" s="53"/>
      <c r="J32" s="53"/>
      <c r="K32" s="53"/>
    </row>
    <row r="33" spans="1:27" ht="12" customHeight="1">
      <c r="B33" s="639"/>
      <c r="C33" s="639"/>
      <c r="D33" s="639"/>
      <c r="F33" s="1"/>
      <c r="G33" s="1"/>
      <c r="H33" s="1"/>
      <c r="I33" s="53"/>
      <c r="J33" s="53"/>
      <c r="K33" s="53"/>
    </row>
    <row r="34" spans="1:27" ht="12" customHeight="1">
      <c r="B34" s="22"/>
      <c r="C34" s="22"/>
      <c r="F34" s="1"/>
      <c r="G34" s="1"/>
      <c r="H34" s="1"/>
      <c r="I34" s="53"/>
      <c r="J34" s="53"/>
      <c r="K34" s="53"/>
    </row>
    <row r="35" spans="1:27" ht="12" hidden="1" customHeight="1">
      <c r="B35" s="22" t="s">
        <v>2405</v>
      </c>
      <c r="C35" s="587" t="s">
        <v>2433</v>
      </c>
      <c r="F35" s="1"/>
      <c r="G35" s="1"/>
      <c r="H35" s="1"/>
      <c r="I35" s="53"/>
      <c r="J35" s="53"/>
      <c r="K35" s="53"/>
    </row>
    <row r="36" spans="1:27" ht="12" customHeight="1">
      <c r="B36" s="22"/>
      <c r="C36" s="22"/>
      <c r="F36" s="1"/>
      <c r="G36" s="1"/>
      <c r="H36" s="1"/>
      <c r="I36" s="53"/>
      <c r="J36" s="53"/>
      <c r="K36" s="53"/>
    </row>
    <row r="37" spans="1:27" ht="12" customHeight="1">
      <c r="B37" s="22"/>
      <c r="C37" s="22"/>
      <c r="F37" s="1"/>
      <c r="G37" s="1"/>
      <c r="H37" s="1"/>
      <c r="I37" s="53"/>
      <c r="J37" s="53"/>
      <c r="K37" s="53"/>
    </row>
    <row r="38" spans="1:27" ht="12" customHeight="1">
      <c r="B38" s="22"/>
      <c r="C38" s="22"/>
      <c r="F38" s="1"/>
      <c r="G38" s="1"/>
      <c r="H38" s="1"/>
      <c r="I38" s="53"/>
      <c r="J38" s="53"/>
      <c r="K38" s="53"/>
    </row>
    <row r="39" spans="1:27" ht="12" customHeight="1">
      <c r="B39" s="22"/>
      <c r="C39" s="22"/>
      <c r="F39" s="1"/>
      <c r="G39" s="1"/>
      <c r="H39" s="1"/>
      <c r="I39" s="53"/>
      <c r="J39" s="53"/>
      <c r="K39" s="53"/>
    </row>
    <row r="40" spans="1:27">
      <c r="B40" s="22"/>
      <c r="C40" s="22"/>
      <c r="F40" s="3"/>
      <c r="I40" s="53"/>
      <c r="J40" s="53"/>
      <c r="K40" s="53"/>
    </row>
    <row r="41" spans="1:27" ht="12.75" customHeight="1">
      <c r="B41" s="22"/>
      <c r="C41" s="22"/>
      <c r="F41" s="3"/>
      <c r="I41" s="53"/>
      <c r="J41" s="53"/>
      <c r="K41" s="53"/>
    </row>
    <row r="42" spans="1:27" s="3" customFormat="1">
      <c r="A42" s="53"/>
      <c r="B42" s="22"/>
      <c r="C42" s="22"/>
      <c r="I42" s="53"/>
      <c r="J42" s="53"/>
      <c r="K42" s="53"/>
      <c r="L42" s="53"/>
      <c r="M42" s="53"/>
      <c r="N42" s="53"/>
      <c r="O42" s="53"/>
      <c r="P42" s="53"/>
      <c r="Q42" s="53"/>
      <c r="R42" s="53"/>
      <c r="S42" s="53"/>
      <c r="T42" s="53"/>
      <c r="U42" s="53"/>
      <c r="V42" s="53"/>
      <c r="W42" s="53"/>
      <c r="X42" s="53"/>
      <c r="Y42" s="53"/>
      <c r="Z42" s="53"/>
      <c r="AA42" s="53"/>
    </row>
    <row r="43" spans="1:27" s="3" customFormat="1">
      <c r="A43" s="53"/>
      <c r="B43" s="22"/>
      <c r="C43" s="22"/>
      <c r="I43" s="53"/>
      <c r="J43" s="53"/>
      <c r="K43" s="53"/>
      <c r="L43" s="53"/>
      <c r="M43" s="53"/>
      <c r="N43" s="53"/>
      <c r="O43" s="53"/>
      <c r="P43" s="53"/>
      <c r="Q43" s="53"/>
      <c r="R43" s="53"/>
      <c r="S43" s="53"/>
      <c r="T43" s="53"/>
      <c r="U43" s="53"/>
      <c r="V43" s="53"/>
      <c r="W43" s="53"/>
      <c r="X43" s="53"/>
      <c r="Y43" s="53"/>
      <c r="Z43" s="53"/>
      <c r="AA43" s="53"/>
    </row>
    <row r="44" spans="1:27" s="3" customFormat="1">
      <c r="A44" s="53"/>
      <c r="B44" s="22"/>
      <c r="C44" s="22"/>
      <c r="I44" s="53"/>
      <c r="J44" s="53"/>
      <c r="K44" s="53"/>
      <c r="L44" s="53"/>
      <c r="M44" s="53"/>
      <c r="N44" s="53"/>
      <c r="O44" s="53"/>
      <c r="P44" s="53"/>
      <c r="Q44" s="53"/>
      <c r="R44" s="53"/>
      <c r="S44" s="53"/>
      <c r="T44" s="53"/>
      <c r="U44" s="53"/>
      <c r="V44" s="53"/>
      <c r="W44" s="53"/>
      <c r="X44" s="53"/>
      <c r="Y44" s="53"/>
      <c r="Z44" s="53"/>
      <c r="AA44" s="53"/>
    </row>
    <row r="45" spans="1:27" s="3" customFormat="1">
      <c r="A45" s="53"/>
      <c r="B45" s="22"/>
      <c r="C45" s="22"/>
      <c r="I45" s="53"/>
      <c r="J45" s="53"/>
      <c r="K45" s="53"/>
      <c r="L45" s="53"/>
      <c r="M45" s="53"/>
      <c r="N45" s="53"/>
      <c r="O45" s="53"/>
      <c r="P45" s="53"/>
      <c r="Q45" s="53"/>
      <c r="R45" s="53"/>
      <c r="S45" s="53"/>
      <c r="T45" s="53"/>
      <c r="U45" s="53"/>
      <c r="V45" s="53"/>
      <c r="W45" s="53"/>
      <c r="X45" s="53"/>
      <c r="Y45" s="53"/>
      <c r="Z45" s="53"/>
      <c r="AA45" s="53"/>
    </row>
    <row r="46" spans="1:27" s="3" customFormat="1">
      <c r="A46" s="53"/>
      <c r="B46" s="22"/>
      <c r="C46" s="22"/>
      <c r="I46" s="53"/>
      <c r="J46" s="53"/>
      <c r="K46" s="53"/>
      <c r="L46" s="53"/>
      <c r="M46" s="53"/>
      <c r="N46" s="53"/>
      <c r="O46" s="53"/>
      <c r="P46" s="53"/>
      <c r="Q46" s="53"/>
      <c r="R46" s="53"/>
      <c r="S46" s="53"/>
      <c r="T46" s="53"/>
      <c r="U46" s="53"/>
      <c r="V46" s="53"/>
      <c r="W46" s="53"/>
      <c r="X46" s="53"/>
      <c r="Y46" s="53"/>
      <c r="Z46" s="53"/>
      <c r="AA46" s="53"/>
    </row>
    <row r="47" spans="1:27" s="3" customFormat="1">
      <c r="A47" s="53"/>
      <c r="B47" s="22"/>
      <c r="C47" s="22"/>
      <c r="I47" s="53"/>
      <c r="J47" s="53"/>
      <c r="K47" s="53"/>
      <c r="L47" s="53"/>
      <c r="M47" s="53"/>
      <c r="N47" s="53"/>
      <c r="O47" s="53"/>
      <c r="P47" s="53"/>
      <c r="Q47" s="53"/>
      <c r="R47" s="53"/>
      <c r="S47" s="53"/>
      <c r="T47" s="53"/>
      <c r="U47" s="53"/>
      <c r="V47" s="53"/>
      <c r="W47" s="53"/>
      <c r="X47" s="53"/>
      <c r="Y47" s="53"/>
      <c r="Z47" s="53"/>
      <c r="AA47" s="53"/>
    </row>
    <row r="48" spans="1:27" s="3" customFormat="1">
      <c r="A48" s="53"/>
      <c r="B48" s="22"/>
      <c r="C48" s="22"/>
      <c r="I48" s="53"/>
      <c r="J48" s="53"/>
      <c r="K48" s="53"/>
      <c r="L48" s="53"/>
      <c r="M48" s="53"/>
      <c r="N48" s="53"/>
      <c r="O48" s="53"/>
      <c r="P48" s="53"/>
      <c r="Q48" s="53"/>
      <c r="R48" s="53"/>
      <c r="S48" s="53"/>
      <c r="T48" s="53"/>
      <c r="U48" s="53"/>
      <c r="V48" s="53"/>
      <c r="W48" s="53"/>
      <c r="X48" s="53"/>
      <c r="Y48" s="53"/>
      <c r="Z48" s="53"/>
      <c r="AA48" s="53"/>
    </row>
    <row r="49" spans="1:27" s="3" customFormat="1">
      <c r="A49" s="53"/>
      <c r="B49" s="22"/>
      <c r="C49" s="22"/>
      <c r="I49" s="53"/>
      <c r="J49" s="53"/>
      <c r="K49" s="53"/>
      <c r="L49" s="53"/>
      <c r="M49" s="53"/>
      <c r="N49" s="53"/>
      <c r="O49" s="53"/>
      <c r="P49" s="53"/>
      <c r="Q49" s="53"/>
      <c r="R49" s="53"/>
      <c r="S49" s="53"/>
      <c r="T49" s="53"/>
      <c r="U49" s="53"/>
      <c r="V49" s="53"/>
      <c r="W49" s="53"/>
      <c r="X49" s="53"/>
      <c r="Y49" s="53"/>
      <c r="Z49" s="53"/>
      <c r="AA49" s="53"/>
    </row>
    <row r="50" spans="1:27" s="3" customFormat="1">
      <c r="A50" s="53"/>
      <c r="B50" s="22"/>
      <c r="C50" s="22"/>
      <c r="I50" s="53"/>
      <c r="J50" s="53"/>
      <c r="K50" s="53"/>
      <c r="L50" s="53"/>
      <c r="M50" s="53"/>
      <c r="N50" s="53"/>
      <c r="O50" s="53"/>
      <c r="P50" s="53"/>
      <c r="Q50" s="53"/>
      <c r="R50" s="53"/>
      <c r="S50" s="53"/>
      <c r="T50" s="53"/>
      <c r="U50" s="53"/>
      <c r="V50" s="53"/>
      <c r="W50" s="53"/>
      <c r="X50" s="53"/>
      <c r="Y50" s="53"/>
      <c r="Z50" s="53"/>
      <c r="AA50" s="53"/>
    </row>
    <row r="51" spans="1:27" s="3" customFormat="1">
      <c r="A51" s="53"/>
      <c r="B51" s="22"/>
      <c r="C51" s="22"/>
      <c r="I51" s="53"/>
      <c r="J51" s="53"/>
      <c r="K51" s="53"/>
      <c r="L51" s="53"/>
      <c r="M51" s="53"/>
      <c r="N51" s="53"/>
      <c r="O51" s="53"/>
      <c r="P51" s="53"/>
      <c r="Q51" s="53"/>
      <c r="R51" s="53"/>
      <c r="S51" s="53"/>
      <c r="T51" s="53"/>
      <c r="U51" s="53"/>
      <c r="V51" s="53"/>
      <c r="W51" s="53"/>
      <c r="X51" s="53"/>
      <c r="Y51" s="53"/>
      <c r="Z51" s="53"/>
      <c r="AA51" s="53"/>
    </row>
    <row r="52" spans="1:27" s="3" customFormat="1">
      <c r="A52" s="53"/>
      <c r="B52" s="22"/>
      <c r="C52" s="22"/>
      <c r="I52" s="53"/>
      <c r="J52" s="53"/>
      <c r="K52" s="53"/>
      <c r="L52" s="53"/>
      <c r="M52" s="53"/>
      <c r="N52" s="53"/>
      <c r="O52" s="53"/>
      <c r="P52" s="53"/>
      <c r="Q52" s="53"/>
      <c r="R52" s="53"/>
      <c r="S52" s="53"/>
      <c r="T52" s="53"/>
      <c r="U52" s="53"/>
      <c r="V52" s="53"/>
      <c r="W52" s="53"/>
      <c r="X52" s="53"/>
      <c r="Y52" s="53"/>
      <c r="Z52" s="53"/>
      <c r="AA52" s="53"/>
    </row>
    <row r="53" spans="1:27" s="3" customFormat="1" ht="14.25" customHeight="1">
      <c r="A53" s="53"/>
      <c r="B53" s="22"/>
      <c r="C53" s="22"/>
      <c r="I53" s="53"/>
      <c r="J53" s="53"/>
      <c r="K53" s="53"/>
      <c r="L53" s="53"/>
      <c r="M53" s="53"/>
      <c r="N53" s="53"/>
      <c r="O53" s="53"/>
      <c r="P53" s="53"/>
      <c r="Q53" s="53"/>
      <c r="R53" s="53"/>
      <c r="S53" s="53"/>
      <c r="T53" s="53"/>
      <c r="U53" s="53"/>
      <c r="V53" s="53"/>
      <c r="W53" s="53"/>
      <c r="X53" s="53"/>
      <c r="Y53" s="53"/>
      <c r="Z53" s="53"/>
      <c r="AA53" s="53"/>
    </row>
    <row r="54" spans="1:27" s="3" customFormat="1" ht="13.5" customHeight="1">
      <c r="A54" s="53"/>
      <c r="B54" s="22"/>
      <c r="C54" s="22"/>
      <c r="I54" s="53"/>
      <c r="J54" s="53"/>
      <c r="K54" s="53"/>
      <c r="L54" s="53"/>
      <c r="M54" s="53"/>
      <c r="N54" s="53"/>
      <c r="O54" s="53"/>
      <c r="P54" s="53"/>
      <c r="Q54" s="53"/>
      <c r="R54" s="53"/>
      <c r="S54" s="53"/>
      <c r="T54" s="53"/>
      <c r="U54" s="53"/>
      <c r="V54" s="53"/>
      <c r="W54" s="53"/>
      <c r="X54" s="53"/>
      <c r="Y54" s="53"/>
      <c r="Z54" s="53"/>
      <c r="AA54" s="53"/>
    </row>
    <row r="55" spans="1:27" s="3" customFormat="1">
      <c r="A55" s="53"/>
      <c r="B55" s="22"/>
      <c r="C55" s="22"/>
      <c r="I55" s="53"/>
      <c r="J55" s="53"/>
      <c r="K55" s="53"/>
      <c r="L55" s="53"/>
      <c r="M55" s="53"/>
      <c r="N55" s="53"/>
      <c r="O55" s="53"/>
      <c r="P55" s="53"/>
      <c r="Q55" s="53"/>
      <c r="R55" s="53"/>
      <c r="S55" s="53"/>
      <c r="T55" s="53"/>
      <c r="U55" s="53"/>
      <c r="V55" s="53"/>
      <c r="W55" s="53"/>
      <c r="X55" s="53"/>
      <c r="Y55" s="53"/>
      <c r="Z55" s="53"/>
      <c r="AA55" s="53"/>
    </row>
    <row r="56" spans="1:27" s="3" customFormat="1">
      <c r="A56" s="53"/>
      <c r="B56" s="22"/>
      <c r="C56" s="22"/>
      <c r="I56" s="53"/>
      <c r="J56" s="53"/>
      <c r="K56" s="53"/>
      <c r="L56" s="53"/>
      <c r="M56" s="53"/>
      <c r="N56" s="53"/>
      <c r="O56" s="53"/>
      <c r="P56" s="53"/>
      <c r="Q56" s="53"/>
      <c r="R56" s="53"/>
      <c r="S56" s="53"/>
      <c r="T56" s="53"/>
      <c r="U56" s="53"/>
      <c r="V56" s="53"/>
      <c r="W56" s="53"/>
      <c r="X56" s="53"/>
      <c r="Y56" s="53"/>
      <c r="Z56" s="53"/>
      <c r="AA56" s="53"/>
    </row>
    <row r="57" spans="1:27" s="3" customFormat="1">
      <c r="A57" s="53"/>
      <c r="B57" s="22"/>
      <c r="C57" s="22"/>
      <c r="I57" s="53"/>
      <c r="J57" s="53"/>
      <c r="K57" s="53"/>
      <c r="L57" s="53"/>
      <c r="M57" s="53"/>
      <c r="N57" s="53"/>
      <c r="O57" s="53"/>
      <c r="P57" s="53"/>
      <c r="Q57" s="53"/>
      <c r="R57" s="53"/>
      <c r="S57" s="53"/>
      <c r="T57" s="53"/>
      <c r="U57" s="53"/>
      <c r="V57" s="53"/>
      <c r="W57" s="53"/>
      <c r="X57" s="53"/>
      <c r="Y57" s="53"/>
      <c r="Z57" s="53"/>
      <c r="AA57" s="53"/>
    </row>
    <row r="58" spans="1:27" s="3" customFormat="1">
      <c r="A58" s="53"/>
      <c r="B58" s="22"/>
      <c r="C58" s="22"/>
      <c r="I58" s="53"/>
      <c r="J58" s="53"/>
      <c r="K58" s="53"/>
      <c r="L58" s="53"/>
      <c r="M58" s="53"/>
      <c r="N58" s="53"/>
      <c r="O58" s="53"/>
      <c r="P58" s="53"/>
      <c r="Q58" s="53"/>
      <c r="R58" s="53"/>
      <c r="S58" s="53"/>
      <c r="T58" s="53"/>
      <c r="U58" s="53"/>
      <c r="V58" s="53"/>
      <c r="W58" s="53"/>
      <c r="X58" s="53"/>
      <c r="Y58" s="53"/>
      <c r="Z58" s="53"/>
      <c r="AA58" s="53"/>
    </row>
    <row r="59" spans="1:27" s="3" customFormat="1">
      <c r="A59" s="53"/>
      <c r="B59" s="22"/>
      <c r="C59" s="22"/>
      <c r="I59" s="53"/>
      <c r="J59" s="53"/>
      <c r="K59" s="53"/>
      <c r="L59" s="53"/>
      <c r="M59" s="53"/>
      <c r="N59" s="53"/>
      <c r="O59" s="53"/>
      <c r="P59" s="53"/>
      <c r="Q59" s="53"/>
      <c r="R59" s="53"/>
      <c r="S59" s="53"/>
      <c r="T59" s="53"/>
      <c r="U59" s="53"/>
      <c r="V59" s="53"/>
      <c r="W59" s="53"/>
      <c r="X59" s="53"/>
      <c r="Y59" s="53"/>
      <c r="Z59" s="53"/>
      <c r="AA59" s="53"/>
    </row>
    <row r="60" spans="1:27" s="3" customFormat="1" ht="12.75" customHeight="1">
      <c r="A60" s="53"/>
      <c r="B60" s="22"/>
      <c r="C60" s="22"/>
      <c r="I60" s="53"/>
      <c r="J60" s="53"/>
      <c r="K60" s="53"/>
      <c r="L60" s="53"/>
      <c r="M60" s="53"/>
      <c r="N60" s="53"/>
      <c r="O60" s="53"/>
      <c r="P60" s="53"/>
      <c r="Q60" s="53"/>
      <c r="R60" s="53"/>
      <c r="S60" s="53"/>
      <c r="T60" s="53"/>
      <c r="U60" s="53"/>
      <c r="V60" s="53"/>
      <c r="W60" s="53"/>
      <c r="X60" s="53"/>
      <c r="Y60" s="53"/>
      <c r="Z60" s="53"/>
      <c r="AA60" s="53"/>
    </row>
    <row r="61" spans="1:27" s="3" customFormat="1">
      <c r="A61" s="53"/>
      <c r="B61" s="22"/>
      <c r="C61" s="22"/>
      <c r="I61" s="53"/>
      <c r="J61" s="53"/>
      <c r="K61" s="53"/>
      <c r="L61" s="53"/>
      <c r="M61" s="53"/>
      <c r="N61" s="53"/>
      <c r="O61" s="53"/>
      <c r="P61" s="53"/>
      <c r="Q61" s="53"/>
      <c r="R61" s="53"/>
      <c r="S61" s="53"/>
      <c r="T61" s="53"/>
      <c r="U61" s="53"/>
      <c r="V61" s="53"/>
      <c r="W61" s="53"/>
      <c r="X61" s="53"/>
      <c r="Y61" s="53"/>
      <c r="Z61" s="53"/>
      <c r="AA61" s="53"/>
    </row>
    <row r="62" spans="1:27">
      <c r="B62" s="22"/>
      <c r="C62" s="22"/>
      <c r="F62" s="3"/>
      <c r="I62" s="53"/>
      <c r="J62" s="53"/>
      <c r="K62" s="53"/>
    </row>
  </sheetData>
  <sheetProtection algorithmName="SHA-512" hashValue="b6ci07XO2JUpsJg0KBnFxaVlx9IM1hMxdxTPIbJqWNPO7ta9o05BAefc+Oga0FtEjQqnfnyfdJsy1ha2l6QJdw==" saltValue="ftoS7hAME+iYN8iWHvuR/w==" spinCount="100000" sheet="1" formatCells="0" formatColumns="0" formatRows="0" selectLockedCells="1"/>
  <dataConsolidate link="1"/>
  <mergeCells count="8">
    <mergeCell ref="B5:D5"/>
    <mergeCell ref="B26:D26"/>
    <mergeCell ref="B32:D33"/>
    <mergeCell ref="F27:H31"/>
    <mergeCell ref="E6:H10"/>
    <mergeCell ref="B20:D20"/>
    <mergeCell ref="B12:D12"/>
    <mergeCell ref="B6:B9"/>
  </mergeCells>
  <conditionalFormatting sqref="H2:AA2">
    <cfRule type="expression" dxfId="127" priority="4">
      <formula>$G$2&lt;&gt;"Issues: None"</formula>
    </cfRule>
  </conditionalFormatting>
  <conditionalFormatting sqref="G2">
    <cfRule type="expression" dxfId="126" priority="1">
      <formula>VES_STATUS="Empty"</formula>
    </cfRule>
    <cfRule type="expression" dxfId="125" priority="2">
      <formula>VES_STATUS="Invalid"</formula>
    </cfRule>
    <cfRule type="expression" dxfId="124" priority="3">
      <formula>VES_STATUS="Valid"</formula>
    </cfRule>
  </conditionalFormatting>
  <dataValidations count="14">
    <dataValidation type="textLength" operator="equal" allowBlank="1" showInputMessage="1" showErrorMessage="1" error="Must be 7 characters." promptTitle="Company IMO number" prompt="The IMO number of the operating company _x000a__x000a_Must be 7 characters" sqref="D24">
      <formula1>7</formula1>
    </dataValidation>
    <dataValidation type="textLength" operator="equal" showDropDown="1" showInputMessage="1" showErrorMessage="1" errorTitle="Error" error="Invalid LOCODE, must be 5 characters." promptTitle="LOCODE" prompt="Must be 5 characters." sqref="D18">
      <formula1>5</formula1>
    </dataValidation>
    <dataValidation type="whole" allowBlank="1" showInputMessage="1" showErrorMessage="1" error="Must be a 9 digit number" promptTitle="MMSI Number" prompt="MMSI number of the vessel_x000a__x000a_Must be a 9 digit number" sqref="D9">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formula1>REF_COUNTRIES</formula1>
    </dataValidation>
    <dataValidation type="list" allowBlank="1" showInputMessage="1" showErrorMessage="1" error="Select from dropdown" promptTitle="Ship Type" prompt="The ship type_x000a__x000a_Choose from dropdown menu_x000a_" sqref="D14">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_x000a_Must be in dd/mm/yyyy format" sqref="D21">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formula1>0</formula1>
      <formula2>7</formula2>
    </dataValidation>
    <dataValidation type="textLength" allowBlank="1" showInputMessage="1" showErrorMessage="1" error="Max 35 characters." promptTitle="Certificate number" prompt="Number of the certification of registry_x000a__x000a_Max 35 characters" sqref="D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formula1>0</formula1>
      <formula2>70</formula2>
    </dataValidation>
    <dataValidation type="textLength" allowBlank="1" showInputMessage="1" showErrorMessage="1" error="Max 50 characters." promptTitle="Inmarsat call number" prompt="The Inmarsat call numbers of the vessel_x000a__x000a_Max 50 characters" sqref="D27:D31">
      <formula1>1</formula1>
      <formula2>50</formula2>
    </dataValidation>
    <dataValidation allowBlank="1" showInputMessage="1" showErrorMessage="1" promptTitle="Inmarsat" prompt="Insert Inmarsat call number (maximum 5 rows)." sqref="B27:C31"/>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13" r:id="rId4" name="VOY_VOY_LASTPORT_DROPDOWN">
          <controlPr defaultSize="0" autoLine="0" autoPict="0" linkedCell="VOY_VOY_LASTPORT" listFillRange="REF_LOCODE_PORTNAME_COUNTRY" r:id="rId5">
            <anchor moveWithCells="1" sizeWithCells="1">
              <from>
                <xdr:col>1</xdr:col>
                <xdr:colOff>0</xdr:colOff>
                <xdr:row>11</xdr:row>
                <xdr:rowOff>0</xdr:rowOff>
              </from>
              <to>
                <xdr:col>1</xdr:col>
                <xdr:colOff>0</xdr:colOff>
                <xdr:row>11</xdr:row>
                <xdr:rowOff>0</xdr:rowOff>
              </to>
            </anchor>
          </controlPr>
        </control>
      </mc:Choice>
      <mc:Fallback>
        <control shapeId="38913" r:id="rId4" name="VOY_VOY_LASTPORT_DROPDOWN"/>
      </mc:Fallback>
    </mc:AlternateContent>
    <mc:AlternateContent xmlns:mc="http://schemas.openxmlformats.org/markup-compatibility/2006">
      <mc:Choice Requires="x14">
        <control shapeId="38914" r:id="rId6" name="ComboBox1">
          <controlPr defaultSize="0" autoLine="0" autoPict="0" linkedCell="VOY_VOY_NEXTPORT" listFillRange="REF_LOCODE_PORTNAME_COUNTRY" r:id="rId7">
            <anchor moveWithCells="1" sizeWithCells="1">
              <from>
                <xdr:col>1</xdr:col>
                <xdr:colOff>0</xdr:colOff>
                <xdr:row>13</xdr:row>
                <xdr:rowOff>7620</xdr:rowOff>
              </from>
              <to>
                <xdr:col>1</xdr:col>
                <xdr:colOff>0</xdr:colOff>
                <xdr:row>14</xdr:row>
                <xdr:rowOff>0</xdr:rowOff>
              </to>
            </anchor>
          </controlPr>
        </control>
      </mc:Choice>
      <mc:Fallback>
        <control shapeId="38914" r:id="rId6" name="ComboBox1"/>
      </mc:Fallback>
    </mc:AlternateContent>
    <mc:AlternateContent xmlns:mc="http://schemas.openxmlformats.org/markup-compatibility/2006">
      <mc:Choice Requires="x14">
        <control shapeId="38916" r:id="rId8" name="VOY_VOY_POC_DROPDOWN">
          <controlPr defaultSize="0" autoLine="0" autoPict="0" linkedCell="VOY_VOY_PORTOFCALL" listFillRange="REF_UK_LOCODES_PORTNAMES" r:id="rId9">
            <anchor moveWithCells="1" sizeWithCells="1">
              <from>
                <xdr:col>1</xdr:col>
                <xdr:colOff>0</xdr:colOff>
                <xdr:row>5</xdr:row>
                <xdr:rowOff>22860</xdr:rowOff>
              </from>
              <to>
                <xdr:col>1</xdr:col>
                <xdr:colOff>0</xdr:colOff>
                <xdr:row>6</xdr:row>
                <xdr:rowOff>22860</xdr:rowOff>
              </to>
            </anchor>
          </controlPr>
        </control>
      </mc:Choice>
      <mc:Fallback>
        <control shapeId="38916" r:id="rId8" name="VOY_VOY_POC_DROPDOWN"/>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F0"/>
    <pageSetUpPr fitToPage="1"/>
  </sheetPr>
  <dimension ref="A1:Z66"/>
  <sheetViews>
    <sheetView zoomScale="85" zoomScaleNormal="85" workbookViewId="0">
      <pane ySplit="3" topLeftCell="A4" activePane="bottomLeft" state="frozen"/>
      <selection pane="bottomLeft" activeCell="C9" sqref="C9"/>
    </sheetView>
  </sheetViews>
  <sheetFormatPr defaultColWidth="9.109375" defaultRowHeight="13.2"/>
  <cols>
    <col min="1" max="1" width="2.44140625" style="2" customWidth="1"/>
    <col min="2" max="2" width="35.109375" style="3" customWidth="1"/>
    <col min="3" max="3" width="46.6640625" style="431" customWidth="1"/>
    <col min="4" max="4" width="1.33203125" style="3" customWidth="1"/>
    <col min="5" max="5" width="23.109375" style="253" customWidth="1"/>
    <col min="6" max="6" width="16.44140625" style="253" customWidth="1"/>
    <col min="7" max="7" width="16.44140625" style="22" customWidth="1"/>
    <col min="8" max="8" width="19.6640625" style="3" customWidth="1"/>
    <col min="9" max="9" width="12.6640625" style="3" customWidth="1"/>
    <col min="10" max="11" width="24.33203125" style="3" customWidth="1"/>
    <col min="12" max="12" width="36.5546875" style="3" customWidth="1"/>
    <col min="13" max="14" width="9.109375" style="53"/>
    <col min="15" max="16384" width="9.109375" style="2"/>
  </cols>
  <sheetData>
    <row r="1" spans="1:26" s="157" customFormat="1" ht="4.5" customHeight="1">
      <c r="B1" s="394"/>
      <c r="C1" s="429"/>
      <c r="D1" s="394"/>
      <c r="E1" s="394"/>
      <c r="F1" s="394"/>
      <c r="G1" s="395"/>
      <c r="H1" s="394"/>
      <c r="I1" s="394"/>
      <c r="J1" s="394"/>
      <c r="K1" s="394"/>
      <c r="L1" s="394"/>
    </row>
    <row r="2" spans="1:26" s="157" customFormat="1" ht="21">
      <c r="A2" s="154"/>
      <c r="B2" s="155" t="s">
        <v>1908</v>
      </c>
      <c r="C2" s="430"/>
      <c r="D2" s="156"/>
      <c r="E2" s="396" t="s">
        <v>1965</v>
      </c>
      <c r="F2" s="402" t="str">
        <f>VOY_STATUS</f>
        <v>Empty</v>
      </c>
      <c r="G2" s="401" t="str">
        <f>IFERROR(VOY_VALID_RES,"")</f>
        <v>‘Port of call’ required</v>
      </c>
      <c r="H2" s="401"/>
      <c r="I2" s="401"/>
      <c r="J2" s="401"/>
      <c r="K2" s="401"/>
      <c r="L2" s="401"/>
      <c r="M2" s="401"/>
      <c r="N2" s="401"/>
      <c r="O2" s="401"/>
      <c r="P2" s="401"/>
      <c r="Q2" s="401"/>
      <c r="R2" s="401"/>
      <c r="S2" s="401"/>
      <c r="T2" s="401"/>
      <c r="U2" s="401"/>
      <c r="V2" s="401"/>
      <c r="W2" s="401"/>
      <c r="X2" s="401"/>
      <c r="Y2" s="401"/>
      <c r="Z2" s="401"/>
    </row>
    <row r="3" spans="1:26" s="157" customFormat="1" ht="4.5" customHeight="1">
      <c r="B3" s="394"/>
      <c r="C3" s="429"/>
      <c r="D3" s="394"/>
      <c r="E3" s="394"/>
      <c r="F3" s="394"/>
      <c r="G3" s="399"/>
      <c r="H3" s="399"/>
      <c r="I3" s="399"/>
      <c r="J3" s="399"/>
      <c r="K3" s="400"/>
    </row>
    <row r="4" spans="1:26" s="379" customFormat="1" ht="12.75" customHeight="1" thickBot="1">
      <c r="B4" s="264"/>
      <c r="C4" s="431"/>
      <c r="D4" s="264"/>
      <c r="E4" s="264"/>
      <c r="F4" s="264"/>
      <c r="G4" s="48"/>
      <c r="H4" s="48"/>
      <c r="I4" s="48"/>
      <c r="J4" s="48"/>
      <c r="K4" s="19"/>
    </row>
    <row r="5" spans="1:26" ht="21" customHeight="1" thickTop="1">
      <c r="B5" s="635" t="s">
        <v>2345</v>
      </c>
      <c r="C5" s="637"/>
      <c r="E5" s="357" t="s">
        <v>1975</v>
      </c>
      <c r="F5" s="294"/>
      <c r="G5" s="295"/>
      <c r="H5" s="50"/>
      <c r="I5" s="50"/>
      <c r="J5" s="50"/>
      <c r="K5" s="50"/>
      <c r="L5" s="53"/>
    </row>
    <row r="6" spans="1:26" ht="13.5" customHeight="1">
      <c r="B6" s="419" t="s">
        <v>1392</v>
      </c>
      <c r="C6" s="115"/>
      <c r="D6" s="2"/>
      <c r="E6" s="645" t="str">
        <f>'Reference data'!AJ2</f>
        <v>Cargo operations</v>
      </c>
      <c r="F6" s="646"/>
      <c r="G6" s="278" t="s">
        <v>86</v>
      </c>
      <c r="I6" s="49"/>
      <c r="J6" s="49"/>
      <c r="K6" s="49"/>
      <c r="L6" s="53"/>
    </row>
    <row r="7" spans="1:26" s="53" customFormat="1" ht="12" customHeight="1">
      <c r="B7" s="114" t="s">
        <v>1389</v>
      </c>
      <c r="C7" s="141" t="str">
        <f>IF(ISERROR(VLOOKUP(VOY_VOY_PORTOFCALL,REF_LOCODE_PORTNAME_COUNTRY, 2,FALSE)),"Select port of call from cell above…",VLOOKUP(VOY_VOY_PORTOFCALL,REF_LOCODE_PORTNAME_COUNTRY, 2,FALSE))</f>
        <v>Select port of call from cell above…</v>
      </c>
      <c r="E7" s="645" t="str">
        <f>'Reference data'!AJ3</f>
        <v>Passenger movement</v>
      </c>
      <c r="F7" s="646"/>
      <c r="G7" s="279" t="s">
        <v>86</v>
      </c>
      <c r="I7" s="49"/>
      <c r="J7" s="49"/>
      <c r="K7" s="49"/>
    </row>
    <row r="8" spans="1:26" s="53" customFormat="1" ht="12" customHeight="1">
      <c r="B8" s="420" t="s">
        <v>1390</v>
      </c>
      <c r="C8" s="566" t="str">
        <f>IF(ISERROR(TMP_VOY_PORTOFCALL),"Select port of call from cell above…",TMP_VOY_PORTOFCALL)</f>
        <v>Select port of call from cell above…</v>
      </c>
      <c r="E8" s="645" t="str">
        <f>'Reference data'!AJ4</f>
        <v>Taking bunkers</v>
      </c>
      <c r="F8" s="646"/>
      <c r="G8" s="279" t="s">
        <v>86</v>
      </c>
      <c r="I8" s="49"/>
      <c r="J8" s="49"/>
      <c r="K8" s="49"/>
    </row>
    <row r="9" spans="1:26" ht="12" customHeight="1">
      <c r="B9" s="65" t="s">
        <v>4</v>
      </c>
      <c r="C9" s="106"/>
      <c r="D9" s="2"/>
      <c r="E9" s="645" t="str">
        <f>'Reference data'!AJ5</f>
        <v>Changing crew</v>
      </c>
      <c r="F9" s="646"/>
      <c r="G9" s="279" t="s">
        <v>86</v>
      </c>
      <c r="I9" s="49"/>
      <c r="J9" s="49"/>
      <c r="K9" s="49"/>
      <c r="L9" s="53"/>
    </row>
    <row r="10" spans="1:26" ht="12" customHeight="1">
      <c r="B10" s="66" t="s">
        <v>49</v>
      </c>
      <c r="C10" s="106"/>
      <c r="D10" s="2"/>
      <c r="E10" s="645" t="str">
        <f>'Reference data'!AJ6</f>
        <v>Goodwill visit</v>
      </c>
      <c r="F10" s="646"/>
      <c r="G10" s="279" t="s">
        <v>86</v>
      </c>
      <c r="I10" s="49"/>
      <c r="J10" s="49"/>
      <c r="K10" s="49"/>
      <c r="L10" s="53"/>
    </row>
    <row r="11" spans="1:26" ht="12" customHeight="1">
      <c r="B11" s="427" t="s">
        <v>51</v>
      </c>
      <c r="C11" s="107"/>
      <c r="D11" s="2"/>
      <c r="E11" s="645" t="str">
        <f>'Reference data'!AJ7</f>
        <v>Taking supplies</v>
      </c>
      <c r="F11" s="646"/>
      <c r="G11" s="279" t="s">
        <v>86</v>
      </c>
      <c r="I11" s="49"/>
      <c r="J11" s="49"/>
      <c r="K11" s="49"/>
      <c r="L11" s="53"/>
    </row>
    <row r="12" spans="1:26" ht="12" customHeight="1">
      <c r="B12" s="428" t="s">
        <v>57</v>
      </c>
      <c r="C12" s="107"/>
      <c r="D12" s="2"/>
      <c r="E12" s="645" t="str">
        <f>'Reference data'!AJ8</f>
        <v>Repair</v>
      </c>
      <c r="F12" s="646"/>
      <c r="G12" s="279" t="s">
        <v>86</v>
      </c>
      <c r="I12" s="49"/>
      <c r="J12" s="49"/>
      <c r="K12" s="49"/>
      <c r="L12" s="53"/>
    </row>
    <row r="13" spans="1:26" ht="13.5" customHeight="1">
      <c r="B13" s="66" t="s">
        <v>1395</v>
      </c>
      <c r="C13" s="577"/>
      <c r="D13" s="2"/>
      <c r="E13" s="645" t="str">
        <f>'Reference data'!AJ9</f>
        <v>Laid-up</v>
      </c>
      <c r="F13" s="646"/>
      <c r="G13" s="279" t="s">
        <v>86</v>
      </c>
      <c r="I13" s="19"/>
      <c r="J13" s="19"/>
      <c r="K13" s="19"/>
      <c r="L13" s="53"/>
    </row>
    <row r="14" spans="1:26" s="53" customFormat="1" ht="12" customHeight="1">
      <c r="B14" s="66" t="s">
        <v>1394</v>
      </c>
      <c r="C14" s="577"/>
      <c r="E14" s="645" t="str">
        <f>'Reference data'!AJ10</f>
        <v>Awaiting orders</v>
      </c>
      <c r="F14" s="646"/>
      <c r="G14" s="279" t="s">
        <v>86</v>
      </c>
      <c r="I14" s="19"/>
      <c r="J14" s="19"/>
      <c r="K14" s="19"/>
    </row>
    <row r="15" spans="1:26" s="53" customFormat="1" ht="12" customHeight="1">
      <c r="B15" s="66" t="s">
        <v>1391</v>
      </c>
      <c r="C15" s="567"/>
      <c r="E15" s="645" t="str">
        <f>'Reference data'!AJ11</f>
        <v>Miscellaneous</v>
      </c>
      <c r="F15" s="646"/>
      <c r="G15" s="279" t="s">
        <v>86</v>
      </c>
      <c r="I15" s="19"/>
      <c r="J15" s="19"/>
      <c r="K15" s="19"/>
    </row>
    <row r="16" spans="1:26" ht="12" customHeight="1">
      <c r="B16" s="66" t="s">
        <v>48</v>
      </c>
      <c r="C16" s="107"/>
      <c r="D16" s="2"/>
      <c r="E16" s="645" t="str">
        <f>'Reference data'!AJ12</f>
        <v>Crew movement</v>
      </c>
      <c r="F16" s="646"/>
      <c r="G16" s="279" t="s">
        <v>86</v>
      </c>
      <c r="I16" s="19"/>
      <c r="J16" s="19"/>
      <c r="K16" s="19"/>
      <c r="L16" s="53"/>
    </row>
    <row r="17" spans="2:12" ht="13.5" customHeight="1">
      <c r="B17" s="65" t="s">
        <v>1396</v>
      </c>
      <c r="C17" s="577"/>
      <c r="D17" s="2"/>
      <c r="E17" s="645" t="str">
        <f>'Reference data'!AJ13</f>
        <v>Cruise, leisure and recreation</v>
      </c>
      <c r="F17" s="646"/>
      <c r="G17" s="279" t="s">
        <v>86</v>
      </c>
      <c r="I17" s="53"/>
      <c r="J17" s="53"/>
      <c r="K17" s="53"/>
      <c r="L17" s="53"/>
    </row>
    <row r="18" spans="2:12" s="53" customFormat="1" ht="12" customHeight="1">
      <c r="B18" s="65" t="s">
        <v>1397</v>
      </c>
      <c r="C18" s="578"/>
      <c r="E18" s="645" t="str">
        <f>'Reference data'!AJ14</f>
        <v>Under government order</v>
      </c>
      <c r="F18" s="646"/>
      <c r="G18" s="279" t="s">
        <v>86</v>
      </c>
    </row>
    <row r="19" spans="2:12" s="53" customFormat="1" ht="12" customHeight="1">
      <c r="B19" s="65" t="s">
        <v>1393</v>
      </c>
      <c r="C19" s="567"/>
      <c r="E19" s="645" t="str">
        <f>'Reference data'!AJ15</f>
        <v>Quarantine inspection</v>
      </c>
      <c r="F19" s="646"/>
      <c r="G19" s="279" t="s">
        <v>86</v>
      </c>
      <c r="J19" s="307"/>
    </row>
    <row r="20" spans="2:12" ht="12" customHeight="1" thickBot="1">
      <c r="B20" s="65" t="s">
        <v>50</v>
      </c>
      <c r="C20" s="107"/>
      <c r="D20" s="2"/>
      <c r="E20" s="645" t="str">
        <f>'Reference data'!AJ16</f>
        <v>Refuge</v>
      </c>
      <c r="F20" s="646"/>
      <c r="G20" s="279" t="s">
        <v>86</v>
      </c>
      <c r="I20" s="53"/>
      <c r="J20" s="53"/>
      <c r="K20" s="53"/>
      <c r="L20" s="53"/>
    </row>
    <row r="21" spans="2:12" ht="12" customHeight="1" thickBot="1">
      <c r="B21" s="658" t="s">
        <v>52</v>
      </c>
      <c r="C21" s="655"/>
      <c r="D21" s="2"/>
      <c r="E21" s="650" t="s">
        <v>632</v>
      </c>
      <c r="F21" s="651"/>
      <c r="G21" s="280">
        <f>COUNTIF(Voyage!$G$6:$G$20,"Yes")</f>
        <v>0</v>
      </c>
      <c r="I21" s="53"/>
      <c r="J21" s="53"/>
      <c r="K21" s="53"/>
      <c r="L21" s="53"/>
    </row>
    <row r="22" spans="2:12" ht="4.5" customHeight="1" thickTop="1">
      <c r="B22" s="659"/>
      <c r="C22" s="656"/>
      <c r="D22" s="2"/>
      <c r="E22" s="254"/>
      <c r="F22" s="254"/>
      <c r="G22" s="3"/>
      <c r="I22" s="53"/>
      <c r="J22" s="53"/>
      <c r="K22" s="53"/>
      <c r="L22" s="53"/>
    </row>
    <row r="23" spans="2:12" s="53" customFormat="1" ht="12" customHeight="1">
      <c r="B23" s="659"/>
      <c r="C23" s="656"/>
    </row>
    <row r="24" spans="2:12" s="53" customFormat="1" ht="12" customHeight="1">
      <c r="B24" s="659"/>
      <c r="C24" s="656"/>
      <c r="E24" s="265"/>
      <c r="F24" s="265"/>
      <c r="G24" s="265"/>
    </row>
    <row r="25" spans="2:12" s="53" customFormat="1" ht="12" customHeight="1" thickBot="1">
      <c r="B25" s="660"/>
      <c r="C25" s="657"/>
      <c r="E25" s="265"/>
      <c r="F25" s="265"/>
      <c r="G25" s="265"/>
    </row>
    <row r="26" spans="2:12" s="53" customFormat="1" ht="6.75" customHeight="1" thickTop="1" thickBot="1">
      <c r="B26" s="3"/>
      <c r="C26" s="431"/>
      <c r="E26" s="265"/>
      <c r="F26" s="265"/>
      <c r="G26" s="265"/>
    </row>
    <row r="27" spans="2:12" ht="12" customHeight="1" thickTop="1" thickBot="1">
      <c r="B27" s="635" t="s">
        <v>2346</v>
      </c>
      <c r="C27" s="637"/>
      <c r="D27" s="2"/>
      <c r="E27" s="654" t="s">
        <v>1917</v>
      </c>
      <c r="F27" s="654"/>
      <c r="G27" s="654"/>
      <c r="I27" s="53"/>
      <c r="J27" s="53"/>
      <c r="K27" s="53"/>
      <c r="L27" s="53"/>
    </row>
    <row r="28" spans="2:12" ht="12" customHeight="1" thickTop="1">
      <c r="B28" s="652"/>
      <c r="C28" s="653"/>
      <c r="D28" s="2"/>
      <c r="E28" s="654"/>
      <c r="F28" s="654"/>
      <c r="G28" s="654"/>
      <c r="I28" s="52"/>
      <c r="J28" s="52"/>
      <c r="K28" s="53"/>
      <c r="L28" s="53"/>
    </row>
    <row r="29" spans="2:12" ht="12" customHeight="1" thickBot="1">
      <c r="B29" s="69" t="s">
        <v>2378</v>
      </c>
      <c r="C29" s="193"/>
      <c r="D29" s="2"/>
      <c r="E29" s="648" t="s">
        <v>2348</v>
      </c>
      <c r="F29" s="649"/>
      <c r="G29" s="107"/>
      <c r="I29" s="52"/>
      <c r="J29" s="52"/>
      <c r="K29" s="53"/>
      <c r="L29" s="53"/>
    </row>
    <row r="30" spans="2:12" ht="12" customHeight="1" thickTop="1" thickBot="1">
      <c r="D30" s="18"/>
      <c r="E30" s="650" t="s">
        <v>2349</v>
      </c>
      <c r="F30" s="651"/>
      <c r="G30" s="194"/>
      <c r="I30" s="52"/>
      <c r="J30" s="52"/>
      <c r="K30" s="53"/>
      <c r="L30" s="53"/>
    </row>
    <row r="31" spans="2:12" ht="12" customHeight="1" thickTop="1" thickBot="1">
      <c r="B31" s="647" t="s">
        <v>1916</v>
      </c>
      <c r="C31" s="647"/>
      <c r="D31" s="195"/>
      <c r="E31" s="259"/>
      <c r="F31" s="254"/>
      <c r="G31" s="53"/>
      <c r="H31" s="52"/>
      <c r="I31" s="52"/>
      <c r="J31" s="52"/>
      <c r="K31" s="53"/>
      <c r="L31" s="53"/>
    </row>
    <row r="32" spans="2:12" ht="12" customHeight="1" thickTop="1">
      <c r="B32" s="647"/>
      <c r="C32" s="647"/>
      <c r="D32" s="195"/>
      <c r="E32" s="248"/>
      <c r="G32" s="3"/>
      <c r="H32" s="1"/>
      <c r="I32" s="1"/>
      <c r="J32" s="1"/>
      <c r="K32" s="53"/>
      <c r="L32" s="53"/>
    </row>
    <row r="33" spans="2:12" ht="12" customHeight="1">
      <c r="B33" s="268" t="s">
        <v>2347</v>
      </c>
      <c r="C33" s="432"/>
      <c r="D33" s="258"/>
      <c r="E33" s="248"/>
      <c r="G33" s="3"/>
      <c r="H33" s="179"/>
      <c r="I33" s="179"/>
      <c r="J33" s="179"/>
      <c r="K33" s="53"/>
      <c r="L33" s="53"/>
    </row>
    <row r="34" spans="2:12" ht="12" customHeight="1" thickBot="1">
      <c r="B34" s="267" t="s">
        <v>58</v>
      </c>
      <c r="C34" s="433"/>
      <c r="D34" s="277"/>
      <c r="E34" s="248"/>
      <c r="G34" s="3"/>
      <c r="H34" s="179"/>
      <c r="I34" s="179"/>
      <c r="J34" s="179"/>
      <c r="K34" s="53"/>
      <c r="L34" s="53"/>
    </row>
    <row r="35" spans="2:12" ht="12" customHeight="1" thickTop="1">
      <c r="D35" s="48"/>
      <c r="G35" s="3"/>
      <c r="H35" s="179"/>
      <c r="I35" s="179"/>
      <c r="J35" s="179"/>
      <c r="K35" s="53"/>
      <c r="L35" s="53"/>
    </row>
    <row r="36" spans="2:12" ht="12" customHeight="1">
      <c r="G36" s="3"/>
      <c r="H36" s="179"/>
      <c r="I36" s="179"/>
      <c r="J36" s="179"/>
      <c r="K36" s="53"/>
      <c r="L36" s="53"/>
    </row>
    <row r="37" spans="2:12" ht="12" hidden="1" customHeight="1">
      <c r="B37" s="3" t="s">
        <v>2405</v>
      </c>
      <c r="C37" s="587" t="s">
        <v>2434</v>
      </c>
      <c r="G37" s="3"/>
      <c r="H37" s="179"/>
      <c r="I37" s="179"/>
      <c r="J37" s="179"/>
      <c r="K37" s="53"/>
      <c r="L37" s="53"/>
    </row>
    <row r="38" spans="2:12" ht="12" customHeight="1">
      <c r="G38" s="3"/>
      <c r="H38" s="1"/>
      <c r="I38" s="1"/>
      <c r="J38" s="1"/>
      <c r="K38" s="53"/>
      <c r="L38" s="53"/>
    </row>
    <row r="39" spans="2:12" ht="12" customHeight="1">
      <c r="G39" s="3"/>
      <c r="H39" s="1"/>
      <c r="I39" s="1"/>
      <c r="J39" s="1"/>
      <c r="K39" s="53"/>
      <c r="L39" s="53"/>
    </row>
    <row r="40" spans="2:12" ht="12" customHeight="1">
      <c r="G40" s="3"/>
      <c r="K40" s="53"/>
      <c r="L40" s="53"/>
    </row>
    <row r="41" spans="2:12" ht="12" customHeight="1">
      <c r="G41" s="3"/>
      <c r="K41" s="53"/>
      <c r="L41" s="53"/>
    </row>
    <row r="42" spans="2:12" ht="12" customHeight="1">
      <c r="G42" s="3"/>
      <c r="K42" s="53"/>
      <c r="L42" s="53"/>
    </row>
    <row r="43" spans="2:12" ht="12" customHeight="1">
      <c r="G43" s="3"/>
      <c r="K43" s="53"/>
      <c r="L43" s="53"/>
    </row>
    <row r="44" spans="2:12" ht="12" customHeight="1">
      <c r="G44" s="3"/>
      <c r="K44" s="53"/>
      <c r="L44" s="53"/>
    </row>
    <row r="45" spans="2:12" ht="12" customHeight="1">
      <c r="G45" s="3"/>
      <c r="K45" s="53"/>
      <c r="L45" s="53"/>
    </row>
    <row r="46" spans="2:12" ht="12" customHeight="1">
      <c r="G46" s="3"/>
      <c r="K46" s="53"/>
      <c r="L46" s="53"/>
    </row>
    <row r="47" spans="2:12" ht="12.75" customHeight="1">
      <c r="G47" s="3"/>
      <c r="K47" s="53"/>
      <c r="L47" s="53"/>
    </row>
    <row r="48" spans="2:12">
      <c r="G48" s="3"/>
      <c r="K48" s="53"/>
      <c r="L48" s="53"/>
    </row>
    <row r="49" spans="7:12">
      <c r="G49" s="3"/>
      <c r="K49" s="53"/>
      <c r="L49" s="53"/>
    </row>
    <row r="59" spans="7:12" ht="14.25" customHeight="1"/>
    <row r="60" spans="7:12" ht="13.5" customHeight="1"/>
    <row r="66" ht="12.75" customHeight="1"/>
  </sheetData>
  <sheetProtection algorithmName="SHA-512" hashValue="qR2reaB02j0MHoh7rT5i/F+ZJCsbabl+SGxhyANlmRaDj4xA6kbt+7sfas0ViyKkzJS4G81s1TSGoy/vR8yKAw==" saltValue="0Iid0oJf12Ef4ISyCmip2g==" spinCount="100000" sheet="1" formatCells="0" formatColumns="0" formatRows="0" selectLockedCells="1"/>
  <mergeCells count="24">
    <mergeCell ref="B31:C32"/>
    <mergeCell ref="E29:F29"/>
    <mergeCell ref="E30:F30"/>
    <mergeCell ref="B27:C28"/>
    <mergeCell ref="E20:F20"/>
    <mergeCell ref="E21:F21"/>
    <mergeCell ref="E27:G28"/>
    <mergeCell ref="C21:C25"/>
    <mergeCell ref="B21:B25"/>
    <mergeCell ref="B5:C5"/>
    <mergeCell ref="E11:F11"/>
    <mergeCell ref="E12:F12"/>
    <mergeCell ref="E13:F13"/>
    <mergeCell ref="E19:F19"/>
    <mergeCell ref="E14:F14"/>
    <mergeCell ref="E15:F15"/>
    <mergeCell ref="E16:F16"/>
    <mergeCell ref="E17:F17"/>
    <mergeCell ref="E18:F18"/>
    <mergeCell ref="E6:F6"/>
    <mergeCell ref="E7:F7"/>
    <mergeCell ref="E8:F8"/>
    <mergeCell ref="E9:F9"/>
    <mergeCell ref="E10:F10"/>
  </mergeCells>
  <conditionalFormatting sqref="G6:G20">
    <cfRule type="expression" dxfId="123" priority="28">
      <formula>G6="Yes"</formula>
    </cfRule>
  </conditionalFormatting>
  <conditionalFormatting sqref="B33">
    <cfRule type="expression" dxfId="122" priority="22">
      <formula xml:space="preserve"> OR( AND(VOY_VOY_ETA="",VOY_ARR_ATA=""), AND(VOY_VOY_ETA="",VOY_ARR_ATA&lt;&gt;""), AND(VOY_VOY_ETA&lt;&gt;"",VOY_ARR_ATA&lt;&gt;"") )</formula>
    </cfRule>
  </conditionalFormatting>
  <conditionalFormatting sqref="B34">
    <cfRule type="expression" dxfId="121" priority="19">
      <formula xml:space="preserve"> OR( AND(VOY_ARR_ANCHORAGE="",VOY_ARR_ATA&lt;&gt;""), AND(VOY_ARR_ANCHORAGE&lt;&gt;"",VOY_ARR_ATA&lt;&gt;"") )</formula>
    </cfRule>
  </conditionalFormatting>
  <conditionalFormatting sqref="E6:E20">
    <cfRule type="expression" dxfId="120" priority="498">
      <formula>G6="Yes"</formula>
    </cfRule>
  </conditionalFormatting>
  <conditionalFormatting sqref="F2">
    <cfRule type="expression" dxfId="119" priority="4">
      <formula>VOY_STATUS="Empty"</formula>
    </cfRule>
    <cfRule type="expression" dxfId="118" priority="16">
      <formula>VOY_STATUS="Invalid"</formula>
    </cfRule>
    <cfRule type="expression" dxfId="117" priority="500">
      <formula>VOY_STATUS="Valid"</formula>
    </cfRule>
  </conditionalFormatting>
  <conditionalFormatting sqref="C7">
    <cfRule type="expression" dxfId="116" priority="15">
      <formula>iserrror(TMP_VOY_PORTOFCALL)</formula>
    </cfRule>
  </conditionalFormatting>
  <conditionalFormatting sqref="B29">
    <cfRule type="expression" dxfId="115" priority="13">
      <formula>IHZ_DET_HAZONBOARD="Yes"</formula>
    </cfRule>
  </conditionalFormatting>
  <conditionalFormatting sqref="B17">
    <cfRule type="expression" dxfId="114" priority="12">
      <formula>AND(SUM_INCLUDE_OHZ="Include",OHZ_DET_HAZONBOARD="Yes",LEN(VOY_VOY_NEXTPORT)&lt;&gt;5)</formula>
    </cfRule>
  </conditionalFormatting>
  <conditionalFormatting sqref="E30">
    <cfRule type="expression" dxfId="113" priority="10">
      <formula>OHZ_DET_HAZONBOARD="Yes"</formula>
    </cfRule>
  </conditionalFormatting>
  <conditionalFormatting sqref="B20">
    <cfRule type="expression" dxfId="112" priority="9">
      <formula>OHZ_DET_HAZONBOARD="Yes"</formula>
    </cfRule>
  </conditionalFormatting>
  <conditionalFormatting sqref="B11">
    <cfRule type="expression" dxfId="111" priority="8">
      <formula xml:space="preserve"> OR( AND(VOY_VOY_ETA="",VOY_ARR_ATA=""), AND(VOY_VOY_ETA&lt;&gt;"",VOY_ARR_ATA=""), AND(VOY_VOY_ETA&lt;&gt;"",VOY_ARR_ATA&lt;&gt;"") )</formula>
    </cfRule>
  </conditionalFormatting>
  <conditionalFormatting sqref="B12">
    <cfRule type="expression" dxfId="110" priority="7">
      <formula xml:space="preserve"> OR( AND(VOY_VOY_ETD="",VOY_DEP_ATD=""), AND(VOY_VOY_ETD&lt;&gt;"",VOY_DEP_ATD=""), AND(VOY_VOY_ETD&lt;&gt;"",VOY_DEP_ATD&lt;&gt;"") )</formula>
    </cfRule>
  </conditionalFormatting>
  <conditionalFormatting sqref="E29:F29">
    <cfRule type="expression" dxfId="109" priority="6">
      <formula xml:space="preserve"> OR( AND(VOY_VOY_ETD="",VOY_DEP_ATD=""), AND(VOY_VOY_ETD="",VOY_DEP_ATD&lt;&gt;""), AND(VOY_VOY_ETD&lt;&gt;"",VOY_DEP_ATD&lt;&gt;"") )</formula>
    </cfRule>
  </conditionalFormatting>
  <conditionalFormatting sqref="C8">
    <cfRule type="expression" dxfId="108" priority="1">
      <formula>iserrror(TMP_VOY_PORTOFCALL)</formula>
    </cfRule>
  </conditionalFormatting>
  <dataValidations xWindow="527" yWindow="626" count="14">
    <dataValidation type="list" allowBlank="1" showInputMessage="1" showErrorMessage="1" error="Select from dropdown" promptTitle="Anchorage" prompt="Indicates whether the ship is at anchorage_x000a__x000a_Choose from dropdown menu" sqref="C34">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formula1>1</formula1>
      <formula2>100000</formula2>
    </dataValidation>
    <dataValidation type="list" allowBlank="1" showErrorMessage="1" errorTitle="Error" error="Possible values are 'Yes' and 'No'" sqref="G6:G20">
      <formula1>REF_YES_NO</formula1>
    </dataValidation>
    <dataValidation type="date" allowBlank="1" showInputMessage="1" showErrorMessage="1" errorTitle="Error" error="Invalid date. Try inserting the date in the same format as your computer system's date format." promptTitle="ATA Port of call" prompt="The vessel's actual time of arrival at the port of call _x000a__x000a_Must be in the dd/mm/yyyy hh:mm 24 hour format" sqref="C33">
      <formula1>1</formula1>
      <formula2>72686</formula2>
    </dataValidation>
    <dataValidation type="time" operator="lessThanOrEqual" allowBlank="1" showInputMessage="1" showErrorMessage="1" errorTitle="Invalid Date" error="Invalid date. Try inserting the date in the same format as your computer system's date format. Must be in dd/mm/yyyy hh:mm format and less than ETA to port of call." promptTitle="ETD from last port" prompt="The expected time of departure from the last port_x000a__x000a_Must be less than ETA to port of call_x000a__x000a_Must be in dd/mm/yyyy hh:mm 24 hour format " sqref="C16">
      <formula1>VOY_VOY_ETA</formula1>
    </dataValidation>
    <dataValidation type="date" operator="greaterThanOrEqual" allowBlank="1" showInputMessage="1" showErrorMessage="1" errorTitle="Invalid Date" error="Invalid date. Try inserting the date in the same format as your computer system's date format. Must be in dd/mm/yyyy hh:mm (24 hour) format and greater than ATA to port of call" promptTitle="ATD Port of call" prompt="The vessels actual time of departure from the port of call_x000a__x000a_Must be greater than ATA to port of call_x000a__x000a_Must be in dd/mm/yyyy hh:mm 24 hour format " sqref="G29">
      <formula1>VOY_ARR_ATA</formula1>
    </dataValidation>
    <dataValidation type="textLength" allowBlank="1" showInputMessage="1" showErrorMessage="1" error="Max 255 characters." promptTitle="Brief cargo description" prompt="Brief description of the vessel's cargo_x000a__x000a_Max 255 characters" sqref="C21:C25">
      <formula1>0</formula1>
      <formula2>255</formula2>
    </dataValidation>
    <dataValidation type="textLength" operator="equal" showDropDown="1" showInputMessage="1" showErrorMessage="1" error="Invalid LOCODE, must be 5 characters." promptTitle="LOCODE" prompt="Must be 5 characters." sqref="C15 C19 C8">
      <formula1>5</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Must be in the dd/mm/yyyy hh:mm 24 hour format" sqref="C11">
      <formula1>1</formula1>
      <formula2>72686</formula2>
    </dataValidation>
    <dataValidation type="date" allowBlank="1" showInputMessage="1" showErrorMessage="1" errorTitle="Error" error="Invalid date. Try inserting the date in the same format as your computer system's date format." promptTitle="ETD from port of call" prompt="The vessels expected time of departure from the port of call_x000a__x000a_Must be in the dd/mm/yyyy hh:mm 24 hour format_x000a_" sqref="C12 C20">
      <formula1>1</formula1>
      <formula2>72686</formula2>
    </dataValidation>
    <dataValidation operator="lessThanOrEqual" allowBlank="1" sqref="G21"/>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5" r:id="rId4" name="ComboBox2">
          <controlPr defaultSize="0" autoLine="0" autoPict="0" linkedCell="VES_VDE_REGPORT" listFillRange="REF_LOCODE_PORTNAME_COUNTRY" r:id="rId5">
            <anchor moveWithCells="1" sizeWithCells="1">
              <from>
                <xdr:col>4</xdr:col>
                <xdr:colOff>0</xdr:colOff>
                <xdr:row>18</xdr:row>
                <xdr:rowOff>7620</xdr:rowOff>
              </from>
              <to>
                <xdr:col>4</xdr:col>
                <xdr:colOff>0</xdr:colOff>
                <xdr:row>18</xdr:row>
                <xdr:rowOff>198120</xdr:rowOff>
              </to>
            </anchor>
          </controlPr>
        </control>
      </mc:Choice>
      <mc:Fallback>
        <control shapeId="13345" r:id="rId4" name="ComboBox2"/>
      </mc:Fallback>
    </mc:AlternateContent>
    <mc:AlternateContent xmlns:mc="http://schemas.openxmlformats.org/markup-compatibility/2006">
      <mc:Choice Requires="x14">
        <control shapeId="13346" r:id="rId6" name="VOY_VOY_POC_DROPDOWN">
          <controlPr defaultSize="0" autoLine="0" linkedCell="TMP_VOY_PORTOFCALL" listFillRange="REF_UK_LOCODES_PORTNAMES" r:id="rId7">
            <anchor moveWithCells="1" sizeWithCells="1">
              <from>
                <xdr:col>2</xdr:col>
                <xdr:colOff>7620</xdr:colOff>
                <xdr:row>4</xdr:row>
                <xdr:rowOff>266700</xdr:rowOff>
              </from>
              <to>
                <xdr:col>2</xdr:col>
                <xdr:colOff>3093720</xdr:colOff>
                <xdr:row>6</xdr:row>
                <xdr:rowOff>7620</xdr:rowOff>
              </to>
            </anchor>
          </controlPr>
        </control>
      </mc:Choice>
      <mc:Fallback>
        <control shapeId="13346" r:id="rId6" name="VOY_VOY_POC_DROPDOWN"/>
      </mc:Fallback>
    </mc:AlternateContent>
  </controls>
  <extLst>
    <ext xmlns:x14="http://schemas.microsoft.com/office/spreadsheetml/2009/9/main" uri="{78C0D931-6437-407d-A8EE-F0AAD7539E65}">
      <x14:conditionalFormattings>
        <x14:conditionalFormatting xmlns:xm="http://schemas.microsoft.com/office/excel/2006/main">
          <x14:cfRule type="iconSet" priority="25"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00B0F0"/>
    <pageSetUpPr autoPageBreaks="0" fitToPage="1"/>
  </sheetPr>
  <dimension ref="A1:AC60"/>
  <sheetViews>
    <sheetView showGridLines="0" zoomScale="85" zoomScaleNormal="85" zoomScaleSheetLayoutView="95" workbookViewId="0">
      <pane ySplit="3" topLeftCell="A4" activePane="bottomLeft" state="frozen"/>
      <selection activeCell="A2" sqref="A2"/>
      <selection pane="bottomLeft" activeCell="D18" sqref="D18"/>
    </sheetView>
  </sheetViews>
  <sheetFormatPr defaultColWidth="9.109375" defaultRowHeight="13.2"/>
  <cols>
    <col min="1" max="1" width="2.44140625" style="2" customWidth="1"/>
    <col min="2" max="2" width="10" style="3" customWidth="1"/>
    <col min="3" max="3" width="22.44140625" style="165" customWidth="1"/>
    <col min="4" max="4" width="24.109375" style="3" customWidth="1"/>
    <col min="5" max="5" width="1.33203125" style="160" customWidth="1"/>
    <col min="6" max="6" width="13.33203125" style="177" customWidth="1"/>
    <col min="7" max="7" width="20" style="3" bestFit="1" customWidth="1"/>
    <col min="8" max="8" width="16.44140625" style="242" customWidth="1"/>
    <col min="9" max="9" width="10.5546875" style="3" customWidth="1"/>
    <col min="10" max="10" width="5.88671875" style="165" customWidth="1"/>
    <col min="11" max="11" width="1.44140625" style="165" customWidth="1"/>
    <col min="12" max="12" width="8" style="245" customWidth="1"/>
    <col min="13" max="13" width="6.109375" style="165" customWidth="1"/>
    <col min="14" max="14" width="5.33203125" style="3" customWidth="1"/>
    <col min="15" max="15" width="3.6640625" style="264" customWidth="1"/>
    <col min="16" max="16" width="5.44140625" style="3" customWidth="1"/>
    <col min="17" max="17" width="14" style="3" customWidth="1"/>
    <col min="18" max="18" width="5.88671875" style="3" customWidth="1"/>
    <col min="19" max="19" width="6" style="264" customWidth="1"/>
    <col min="20" max="20" width="11.44140625" style="2" customWidth="1"/>
    <col min="21" max="21" width="2.6640625" style="246" customWidth="1"/>
    <col min="22" max="22" width="2.88671875" style="2" customWidth="1"/>
    <col min="23" max="23" width="4" style="391" customWidth="1"/>
    <col min="24" max="24" width="15.88671875" style="3" customWidth="1"/>
    <col min="25" max="25" width="19.109375" style="3" customWidth="1"/>
    <col min="26" max="26" width="11.44140625" style="2" customWidth="1"/>
    <col min="27" max="27" width="23" style="2" customWidth="1"/>
    <col min="28" max="28" width="36.109375" style="2" customWidth="1"/>
    <col min="29" max="16384" width="9.109375" style="2"/>
  </cols>
  <sheetData>
    <row r="1" spans="1:29" s="157" customFormat="1" ht="4.5" customHeight="1">
      <c r="B1" s="394"/>
      <c r="C1" s="394"/>
      <c r="D1" s="394"/>
      <c r="E1" s="403"/>
      <c r="F1" s="403"/>
      <c r="G1" s="394"/>
      <c r="H1" s="394"/>
      <c r="I1" s="394"/>
      <c r="J1" s="394"/>
      <c r="K1" s="394"/>
      <c r="L1" s="394"/>
      <c r="M1" s="394"/>
      <c r="N1" s="394"/>
      <c r="O1" s="394"/>
      <c r="P1" s="394"/>
      <c r="Q1" s="394"/>
      <c r="R1" s="394"/>
      <c r="S1" s="394"/>
      <c r="X1" s="394"/>
      <c r="Y1" s="394"/>
    </row>
    <row r="2" spans="1:29" s="157" customFormat="1" ht="21">
      <c r="A2" s="154"/>
      <c r="B2" s="154" t="s">
        <v>1878</v>
      </c>
      <c r="C2" s="154"/>
      <c r="D2" s="154"/>
      <c r="E2" s="154"/>
      <c r="F2" s="154"/>
      <c r="G2" s="396" t="s">
        <v>1965</v>
      </c>
      <c r="H2" s="397" t="str">
        <f>WAS_STATUS</f>
        <v>Empty</v>
      </c>
      <c r="I2" s="401" t="str">
        <f>IFERROR(WAS_VALID_RES,"")</f>
        <v>‘Waste delivery status’ is required</v>
      </c>
      <c r="J2" s="398"/>
      <c r="K2" s="398"/>
      <c r="L2" s="398"/>
      <c r="M2" s="398"/>
      <c r="N2" s="398"/>
      <c r="O2" s="398"/>
      <c r="P2" s="398"/>
      <c r="Q2" s="398"/>
      <c r="R2" s="398"/>
      <c r="S2" s="398"/>
      <c r="T2" s="398"/>
      <c r="U2" s="398"/>
      <c r="V2" s="398"/>
      <c r="W2" s="398"/>
      <c r="X2" s="398"/>
      <c r="Y2" s="398"/>
      <c r="Z2" s="398"/>
      <c r="AA2" s="398"/>
      <c r="AB2" s="398"/>
      <c r="AC2" s="398"/>
    </row>
    <row r="3" spans="1:29" s="157" customFormat="1" ht="4.5" customHeight="1">
      <c r="A3" s="154"/>
      <c r="B3" s="154"/>
      <c r="C3" s="154"/>
      <c r="D3" s="154"/>
      <c r="F3" s="396"/>
      <c r="G3" s="397"/>
      <c r="H3" s="398"/>
      <c r="I3" s="154"/>
      <c r="J3" s="154"/>
      <c r="K3" s="154"/>
      <c r="L3" s="154"/>
      <c r="M3" s="154"/>
      <c r="N3" s="154"/>
      <c r="O3" s="154" t="s">
        <v>1971</v>
      </c>
      <c r="P3" s="154"/>
      <c r="Q3" s="154"/>
      <c r="R3" s="404"/>
      <c r="S3" s="404"/>
      <c r="T3" s="404"/>
      <c r="U3" s="404"/>
      <c r="V3" s="404"/>
      <c r="W3" s="404"/>
      <c r="X3" s="405"/>
      <c r="Y3" s="405"/>
      <c r="Z3" s="405"/>
      <c r="AA3" s="405"/>
      <c r="AB3" s="405"/>
      <c r="AC3" s="405"/>
    </row>
    <row r="4" spans="1:29" s="418" customFormat="1" ht="12.75" customHeight="1" thickBot="1">
      <c r="A4" s="410"/>
      <c r="B4" s="410"/>
      <c r="C4" s="410"/>
      <c r="D4" s="410"/>
      <c r="F4" s="436"/>
      <c r="G4" s="437"/>
      <c r="H4" s="438"/>
      <c r="I4" s="410"/>
      <c r="J4" s="410"/>
      <c r="K4" s="410"/>
      <c r="L4" s="410"/>
      <c r="M4" s="410"/>
      <c r="N4" s="410"/>
      <c r="O4" s="410"/>
      <c r="P4" s="410"/>
      <c r="Q4" s="410"/>
      <c r="R4" s="439"/>
      <c r="S4" s="439"/>
      <c r="T4" s="439"/>
      <c r="U4" s="439"/>
      <c r="V4" s="439"/>
      <c r="W4" s="439"/>
      <c r="X4" s="440"/>
      <c r="Y4" s="440"/>
      <c r="Z4" s="440"/>
      <c r="AA4" s="440"/>
      <c r="AB4" s="440"/>
      <c r="AC4" s="440"/>
    </row>
    <row r="5" spans="1:29" s="18" customFormat="1" ht="12.75" customHeight="1" thickTop="1" thickBot="1">
      <c r="B5" s="654" t="s">
        <v>1905</v>
      </c>
      <c r="C5" s="654"/>
      <c r="D5" s="654"/>
      <c r="E5" s="176"/>
      <c r="F5" s="635" t="s">
        <v>2379</v>
      </c>
      <c r="G5" s="636"/>
      <c r="H5" s="636"/>
      <c r="I5" s="636"/>
      <c r="J5" s="636"/>
      <c r="K5" s="636"/>
      <c r="L5" s="637"/>
      <c r="N5" s="696"/>
      <c r="O5" s="696"/>
      <c r="P5" s="696"/>
      <c r="Q5" s="696"/>
      <c r="R5" s="696"/>
      <c r="S5" s="696"/>
      <c r="T5" s="696"/>
      <c r="U5" s="696"/>
      <c r="V5" s="696"/>
      <c r="W5" s="696"/>
      <c r="X5" s="696"/>
      <c r="Y5" s="195"/>
    </row>
    <row r="6" spans="1:29" ht="13.5" customHeight="1" thickTop="1">
      <c r="B6" s="654"/>
      <c r="C6" s="654"/>
      <c r="D6" s="654"/>
      <c r="E6" s="441"/>
      <c r="F6" s="652"/>
      <c r="G6" s="661"/>
      <c r="H6" s="661"/>
      <c r="I6" s="661"/>
      <c r="J6" s="661"/>
      <c r="K6" s="661"/>
      <c r="L6" s="653"/>
      <c r="N6" s="696"/>
      <c r="O6" s="696"/>
      <c r="P6" s="696"/>
      <c r="Q6" s="696"/>
      <c r="R6" s="696"/>
      <c r="S6" s="696"/>
      <c r="T6" s="696"/>
      <c r="U6" s="696"/>
      <c r="V6" s="696"/>
      <c r="W6" s="696"/>
      <c r="X6" s="696"/>
      <c r="Y6" s="195"/>
    </row>
    <row r="7" spans="1:29" ht="12.75" customHeight="1">
      <c r="B7" s="643" t="s">
        <v>2344</v>
      </c>
      <c r="C7" s="422" t="s">
        <v>1893</v>
      </c>
      <c r="D7" s="105" t="str">
        <f>IF(OR(ISBLANK(VES_VID_IMO),ISERROR(VES_VID_IMO)),"",VES_VID_IMO)</f>
        <v/>
      </c>
      <c r="E7" s="441"/>
      <c r="F7" s="734" t="s">
        <v>2358</v>
      </c>
      <c r="G7" s="736" t="s">
        <v>1966</v>
      </c>
      <c r="H7" s="442" t="s">
        <v>1573</v>
      </c>
      <c r="I7" s="738"/>
      <c r="J7" s="738"/>
      <c r="K7" s="738"/>
      <c r="L7" s="739"/>
      <c r="N7" s="701"/>
      <c r="O7" s="701"/>
      <c r="P7" s="701"/>
      <c r="Q7" s="701"/>
      <c r="R7" s="699"/>
      <c r="S7" s="699"/>
      <c r="T7" s="699"/>
      <c r="U7" s="699"/>
      <c r="V7" s="699"/>
      <c r="W7" s="699"/>
      <c r="X7" s="699"/>
    </row>
    <row r="8" spans="1:29" s="53" customFormat="1" ht="12" customHeight="1">
      <c r="B8" s="643"/>
      <c r="C8" s="423" t="s">
        <v>7</v>
      </c>
      <c r="D8" s="103" t="str">
        <f>IF(OR(ISBLANK(VES_VID_SHIPNAME),ISERROR(VES_VID_SHIPNAME)),"",VES_VID_SHIPNAME)</f>
        <v/>
      </c>
      <c r="E8" s="441"/>
      <c r="F8" s="734"/>
      <c r="G8" s="737"/>
      <c r="H8" s="423" t="s">
        <v>1574</v>
      </c>
      <c r="I8" s="689"/>
      <c r="J8" s="689"/>
      <c r="K8" s="689"/>
      <c r="L8" s="689"/>
      <c r="N8" s="701"/>
      <c r="O8" s="701"/>
      <c r="P8" s="701"/>
      <c r="Q8" s="701"/>
      <c r="R8" s="699"/>
      <c r="S8" s="699"/>
      <c r="T8" s="699"/>
      <c r="U8" s="699"/>
      <c r="V8" s="699"/>
      <c r="W8" s="699"/>
      <c r="X8" s="699"/>
    </row>
    <row r="9" spans="1:29" s="53" customFormat="1" ht="12.75" customHeight="1">
      <c r="B9" s="643"/>
      <c r="C9" s="423" t="s">
        <v>686</v>
      </c>
      <c r="D9" s="103" t="str">
        <f>IF(OR(ISBLANK(VES_VID_CALLSIGN),ISERROR(VES_VID_CALLSIGN)),"",VES_VID_CALLSIGN)</f>
        <v/>
      </c>
      <c r="E9" s="441"/>
      <c r="F9" s="734"/>
      <c r="G9" s="744" t="s">
        <v>1967</v>
      </c>
      <c r="H9" s="447" t="s">
        <v>5</v>
      </c>
      <c r="I9" s="740"/>
      <c r="J9" s="740"/>
      <c r="K9" s="740"/>
      <c r="L9" s="741"/>
      <c r="N9" s="697"/>
      <c r="O9" s="697"/>
      <c r="P9" s="697"/>
      <c r="Q9" s="697"/>
      <c r="R9" s="700"/>
      <c r="S9" s="700"/>
      <c r="T9" s="700"/>
      <c r="U9" s="700"/>
      <c r="V9" s="700"/>
      <c r="W9" s="700"/>
      <c r="X9" s="700"/>
    </row>
    <row r="10" spans="1:29" s="53" customFormat="1" ht="12.75" customHeight="1">
      <c r="B10" s="644"/>
      <c r="C10" s="443" t="s">
        <v>8</v>
      </c>
      <c r="D10" s="103" t="str">
        <f>IF(OR(ISBLANK(VES_VID_MMSI),ISERROR(VES_VID_MMSI)),"",VES_VID_MMSI)</f>
        <v/>
      </c>
      <c r="E10" s="441"/>
      <c r="F10" s="734"/>
      <c r="G10" s="744"/>
      <c r="H10" s="448" t="s">
        <v>15</v>
      </c>
      <c r="I10" s="740"/>
      <c r="J10" s="740"/>
      <c r="K10" s="740"/>
      <c r="L10" s="741"/>
      <c r="N10" s="698"/>
      <c r="O10" s="698"/>
      <c r="P10" s="698"/>
      <c r="Q10" s="698"/>
      <c r="R10" s="700"/>
      <c r="S10" s="700"/>
      <c r="T10" s="700"/>
      <c r="U10" s="700"/>
      <c r="V10" s="700"/>
      <c r="W10" s="700"/>
      <c r="X10" s="700"/>
    </row>
    <row r="11" spans="1:29" s="53" customFormat="1" ht="13.5" customHeight="1" thickBot="1">
      <c r="B11" s="444"/>
      <c r="C11" s="445" t="s">
        <v>47</v>
      </c>
      <c r="D11" s="104"/>
      <c r="E11" s="441"/>
      <c r="F11" s="735"/>
      <c r="G11" s="513" t="s">
        <v>2404</v>
      </c>
      <c r="H11" s="446" t="s">
        <v>67</v>
      </c>
      <c r="I11" s="742"/>
      <c r="J11" s="742"/>
      <c r="K11" s="742"/>
      <c r="L11" s="743"/>
      <c r="N11" s="310"/>
      <c r="O11" s="19"/>
      <c r="P11" s="19"/>
      <c r="Q11" s="19"/>
      <c r="R11" s="19"/>
      <c r="S11" s="19"/>
      <c r="T11" s="19"/>
      <c r="U11" s="19"/>
      <c r="V11" s="19"/>
      <c r="W11" s="19"/>
      <c r="X11" s="19"/>
      <c r="Y11" s="247"/>
    </row>
    <row r="12" spans="1:29" s="52" customFormat="1" ht="6.75" customHeight="1" thickTop="1" thickBot="1">
      <c r="B12" s="273"/>
      <c r="C12" s="182"/>
      <c r="D12" s="223"/>
      <c r="E12" s="176"/>
      <c r="G12" s="274"/>
      <c r="I12" s="274"/>
      <c r="J12" s="274"/>
      <c r="K12" s="48"/>
      <c r="N12" s="19"/>
      <c r="O12" s="19"/>
      <c r="X12" s="275"/>
      <c r="Y12" s="275"/>
      <c r="Z12" s="275"/>
      <c r="AA12" s="275"/>
      <c r="AB12" s="275"/>
      <c r="AC12" s="275"/>
    </row>
    <row r="13" spans="1:29" ht="13.5" customHeight="1" thickTop="1" thickBot="1">
      <c r="B13" s="654" t="s">
        <v>2380</v>
      </c>
      <c r="C13" s="654"/>
      <c r="D13" s="654"/>
      <c r="F13" s="635" t="s">
        <v>2345</v>
      </c>
      <c r="G13" s="636"/>
      <c r="H13" s="636"/>
      <c r="I13" s="636"/>
      <c r="J13" s="636"/>
      <c r="K13" s="636"/>
      <c r="L13" s="636"/>
      <c r="M13" s="636"/>
      <c r="N13" s="636"/>
      <c r="O13" s="636"/>
      <c r="P13" s="636"/>
      <c r="Q13" s="636"/>
      <c r="R13" s="636"/>
      <c r="S13" s="636"/>
      <c r="T13" s="637"/>
      <c r="X13" s="642" t="s">
        <v>1887</v>
      </c>
      <c r="Y13" s="642"/>
      <c r="Z13" s="642"/>
      <c r="AA13" s="642"/>
    </row>
    <row r="14" spans="1:29" ht="13.5" customHeight="1" thickTop="1">
      <c r="B14" s="654"/>
      <c r="C14" s="654"/>
      <c r="D14" s="654"/>
      <c r="F14" s="652"/>
      <c r="G14" s="661"/>
      <c r="H14" s="661"/>
      <c r="I14" s="661"/>
      <c r="J14" s="661"/>
      <c r="K14" s="661"/>
      <c r="L14" s="661"/>
      <c r="M14" s="661"/>
      <c r="N14" s="661"/>
      <c r="O14" s="661"/>
      <c r="P14" s="661"/>
      <c r="Q14" s="661"/>
      <c r="R14" s="661"/>
      <c r="S14" s="661"/>
      <c r="T14" s="653"/>
      <c r="X14" s="642"/>
      <c r="Y14" s="642"/>
      <c r="Z14" s="642"/>
      <c r="AA14" s="642"/>
      <c r="AB14" s="219"/>
      <c r="AC14" s="219"/>
    </row>
    <row r="15" spans="1:29" ht="13.5" customHeight="1">
      <c r="B15" s="648" t="s">
        <v>1581</v>
      </c>
      <c r="C15" s="649"/>
      <c r="D15" s="102"/>
      <c r="E15" s="244"/>
      <c r="F15" s="723" t="s">
        <v>1395</v>
      </c>
      <c r="G15" s="724"/>
      <c r="H15" s="689"/>
      <c r="I15" s="689"/>
      <c r="J15" s="689"/>
      <c r="K15" s="689"/>
      <c r="L15" s="714" t="s">
        <v>1396</v>
      </c>
      <c r="M15" s="715"/>
      <c r="N15" s="715"/>
      <c r="O15" s="716"/>
      <c r="P15" s="702"/>
      <c r="Q15" s="703"/>
      <c r="R15" s="703"/>
      <c r="S15" s="703"/>
      <c r="T15" s="704"/>
      <c r="X15" s="642"/>
      <c r="Y15" s="642"/>
      <c r="Z15" s="642"/>
      <c r="AA15" s="642"/>
      <c r="AB15" s="219"/>
      <c r="AC15" s="219"/>
    </row>
    <row r="16" spans="1:29" ht="13.5" customHeight="1">
      <c r="B16" s="669" t="s">
        <v>1582</v>
      </c>
      <c r="C16" s="670"/>
      <c r="D16" s="579"/>
      <c r="E16" s="244"/>
      <c r="F16" s="732" t="s">
        <v>1394</v>
      </c>
      <c r="G16" s="733"/>
      <c r="H16" s="689"/>
      <c r="I16" s="689"/>
      <c r="J16" s="689"/>
      <c r="K16" s="689"/>
      <c r="L16" s="717" t="s">
        <v>1397</v>
      </c>
      <c r="M16" s="718"/>
      <c r="N16" s="718"/>
      <c r="O16" s="719"/>
      <c r="P16" s="705"/>
      <c r="Q16" s="706"/>
      <c r="R16" s="706"/>
      <c r="S16" s="706"/>
      <c r="T16" s="707"/>
      <c r="X16" s="642"/>
      <c r="Y16" s="642"/>
      <c r="Z16" s="642"/>
      <c r="AA16" s="642"/>
      <c r="AB16" s="219"/>
      <c r="AC16" s="219"/>
    </row>
    <row r="17" spans="2:29" ht="13.5" customHeight="1">
      <c r="B17" s="669" t="s">
        <v>60</v>
      </c>
      <c r="C17" s="670"/>
      <c r="D17" s="553"/>
      <c r="E17" s="244"/>
      <c r="F17" s="732" t="s">
        <v>1391</v>
      </c>
      <c r="G17" s="733"/>
      <c r="H17" s="708"/>
      <c r="I17" s="709"/>
      <c r="J17" s="709"/>
      <c r="K17" s="709"/>
      <c r="L17" s="717" t="s">
        <v>1393</v>
      </c>
      <c r="M17" s="718"/>
      <c r="N17" s="718"/>
      <c r="O17" s="719"/>
      <c r="P17" s="708"/>
      <c r="Q17" s="709"/>
      <c r="R17" s="709"/>
      <c r="S17" s="709"/>
      <c r="T17" s="710"/>
      <c r="U17" s="342"/>
      <c r="V17" s="342"/>
      <c r="X17" s="642"/>
      <c r="Y17" s="642"/>
      <c r="Z17" s="642"/>
      <c r="AA17" s="642"/>
      <c r="AB17" s="219"/>
      <c r="AC17" s="219"/>
    </row>
    <row r="18" spans="2:29" ht="13.5" customHeight="1" thickBot="1">
      <c r="B18" s="671" t="s">
        <v>59</v>
      </c>
      <c r="C18" s="672"/>
      <c r="D18" s="347"/>
      <c r="E18" s="244"/>
      <c r="F18" s="725" t="s">
        <v>48</v>
      </c>
      <c r="G18" s="726"/>
      <c r="H18" s="730" t="str">
        <f>IF(OR(ISBLANK(VOY_VOY_ETDFROMPOC),ISERROR(VOY_VOY_ETDFROMPOC)),"",VOY_VOY_ETDFROMPOC)</f>
        <v/>
      </c>
      <c r="I18" s="731"/>
      <c r="J18" s="731"/>
      <c r="K18" s="731"/>
      <c r="L18" s="720" t="s">
        <v>1972</v>
      </c>
      <c r="M18" s="721"/>
      <c r="N18" s="721"/>
      <c r="O18" s="722"/>
      <c r="P18" s="711" t="str">
        <f>IF(OR(ISBLANK(VOY_VOY_ETATONEXTP),ISERROR(VOY_VOY_ETATONEXTP)),"",VOY_VOY_ETATONEXTP)</f>
        <v/>
      </c>
      <c r="Q18" s="712"/>
      <c r="R18" s="712"/>
      <c r="S18" s="712"/>
      <c r="T18" s="713"/>
      <c r="U18" s="342"/>
      <c r="V18" s="342"/>
      <c r="X18" s="642"/>
      <c r="Y18" s="642"/>
      <c r="Z18" s="642"/>
      <c r="AA18" s="642"/>
      <c r="AB18" s="219"/>
      <c r="AC18" s="219"/>
    </row>
    <row r="19" spans="2:29" s="53" customFormat="1" ht="19.5" customHeight="1" thickTop="1" thickBot="1">
      <c r="B19" s="511" t="s">
        <v>2408</v>
      </c>
      <c r="C19" s="257"/>
      <c r="D19" s="257"/>
      <c r="E19" s="244"/>
      <c r="O19" s="265"/>
      <c r="S19" s="265"/>
      <c r="W19" s="391"/>
    </row>
    <row r="20" spans="2:29" ht="13.5" customHeight="1" thickTop="1" thickBot="1">
      <c r="B20" s="662" t="s">
        <v>2381</v>
      </c>
      <c r="C20" s="654"/>
      <c r="D20" s="654"/>
      <c r="E20" s="654"/>
      <c r="F20" s="654"/>
      <c r="G20" s="654"/>
      <c r="H20" s="654"/>
      <c r="I20" s="654"/>
      <c r="J20" s="654"/>
      <c r="K20" s="654"/>
      <c r="L20" s="654"/>
      <c r="M20" s="654"/>
      <c r="N20" s="654"/>
      <c r="O20" s="654"/>
      <c r="P20" s="654"/>
      <c r="Q20" s="654"/>
      <c r="R20" s="654"/>
      <c r="S20" s="654"/>
      <c r="T20" s="654"/>
      <c r="U20" s="654"/>
      <c r="V20" s="654"/>
      <c r="W20" s="3"/>
      <c r="Y20" s="2"/>
    </row>
    <row r="21" spans="2:29" ht="12.75" customHeight="1" thickTop="1">
      <c r="B21" s="654"/>
      <c r="C21" s="654"/>
      <c r="D21" s="654"/>
      <c r="E21" s="654"/>
      <c r="F21" s="654"/>
      <c r="G21" s="654"/>
      <c r="H21" s="654"/>
      <c r="I21" s="654"/>
      <c r="J21" s="654"/>
      <c r="K21" s="654"/>
      <c r="L21" s="654"/>
      <c r="M21" s="654"/>
      <c r="N21" s="654"/>
      <c r="O21" s="654"/>
      <c r="P21" s="654"/>
      <c r="Q21" s="654"/>
      <c r="R21" s="654"/>
      <c r="S21" s="654"/>
      <c r="T21" s="654"/>
      <c r="U21" s="654"/>
      <c r="V21" s="654"/>
      <c r="W21" s="3"/>
      <c r="Y21" s="2"/>
      <c r="Z21" s="315"/>
    </row>
    <row r="22" spans="2:29" s="3" customFormat="1" ht="51" customHeight="1">
      <c r="B22" s="462" t="s">
        <v>697</v>
      </c>
      <c r="C22" s="383" t="s">
        <v>2359</v>
      </c>
      <c r="D22" s="673" t="s">
        <v>630</v>
      </c>
      <c r="E22" s="674"/>
      <c r="F22" s="91" t="s">
        <v>1914</v>
      </c>
      <c r="G22" s="673" t="s">
        <v>0</v>
      </c>
      <c r="H22" s="691"/>
      <c r="I22" s="449" t="s">
        <v>2360</v>
      </c>
      <c r="J22" s="450" t="s">
        <v>1976</v>
      </c>
      <c r="K22" s="690" t="s">
        <v>2361</v>
      </c>
      <c r="L22" s="674"/>
      <c r="M22" s="382" t="s">
        <v>1976</v>
      </c>
      <c r="N22" s="692" t="s">
        <v>2362</v>
      </c>
      <c r="O22" s="693"/>
      <c r="P22" s="457" t="s">
        <v>1976</v>
      </c>
      <c r="Q22" s="381" t="s">
        <v>2343</v>
      </c>
      <c r="R22" s="673" t="s">
        <v>1575</v>
      </c>
      <c r="S22" s="691"/>
      <c r="T22" s="382" t="s">
        <v>2363</v>
      </c>
      <c r="U22" s="673" t="s">
        <v>1976</v>
      </c>
      <c r="V22" s="684"/>
    </row>
    <row r="23" spans="2:29" s="47" customFormat="1" ht="12.75" customHeight="1">
      <c r="B23" s="463">
        <v>1</v>
      </c>
      <c r="C23" s="359"/>
      <c r="D23" s="663"/>
      <c r="E23" s="664"/>
      <c r="F23" s="571" t="e">
        <f>VLOOKUP(Waste!$D23, REF_WASTE_TYPE_CODE[], 2,FALSE)</f>
        <v>#N/A</v>
      </c>
      <c r="G23" s="675"/>
      <c r="H23" s="676"/>
      <c r="I23" s="451"/>
      <c r="J23" s="452" t="s">
        <v>79</v>
      </c>
      <c r="K23" s="677"/>
      <c r="L23" s="678"/>
      <c r="M23" s="455" t="s">
        <v>79</v>
      </c>
      <c r="N23" s="694"/>
      <c r="O23" s="695"/>
      <c r="P23" s="458" t="s">
        <v>79</v>
      </c>
      <c r="Q23" s="359"/>
      <c r="R23" s="689"/>
      <c r="S23" s="689"/>
      <c r="T23" s="460"/>
      <c r="U23" s="685" t="s">
        <v>79</v>
      </c>
      <c r="V23" s="686"/>
      <c r="X23" s="729" t="s">
        <v>2391</v>
      </c>
      <c r="Y23" s="729"/>
      <c r="Z23" s="729"/>
      <c r="AA23" s="729"/>
      <c r="AB23" s="22"/>
      <c r="AC23" s="22"/>
    </row>
    <row r="24" spans="2:29" s="47" customFormat="1" ht="13.5" customHeight="1">
      <c r="B24" s="463">
        <v>2</v>
      </c>
      <c r="C24" s="359"/>
      <c r="D24" s="663"/>
      <c r="E24" s="664"/>
      <c r="F24" s="571" t="e">
        <f>VLOOKUP(Waste!$D24, REF_WASTE_TYPE_CODE[], 2,FALSE)</f>
        <v>#N/A</v>
      </c>
      <c r="G24" s="675"/>
      <c r="H24" s="676"/>
      <c r="I24" s="451"/>
      <c r="J24" s="452" t="s">
        <v>79</v>
      </c>
      <c r="K24" s="677"/>
      <c r="L24" s="678"/>
      <c r="M24" s="455" t="s">
        <v>79</v>
      </c>
      <c r="N24" s="677"/>
      <c r="O24" s="678"/>
      <c r="P24" s="459" t="s">
        <v>79</v>
      </c>
      <c r="Q24" s="360"/>
      <c r="R24" s="689"/>
      <c r="S24" s="689"/>
      <c r="T24" s="460"/>
      <c r="U24" s="685" t="s">
        <v>79</v>
      </c>
      <c r="V24" s="686"/>
      <c r="X24" s="729"/>
      <c r="Y24" s="729"/>
      <c r="Z24" s="729"/>
      <c r="AA24" s="729"/>
      <c r="AB24" s="22"/>
      <c r="AC24" s="22"/>
    </row>
    <row r="25" spans="2:29" s="47" customFormat="1">
      <c r="B25" s="463">
        <v>3</v>
      </c>
      <c r="C25" s="359"/>
      <c r="D25" s="663"/>
      <c r="E25" s="664"/>
      <c r="F25" s="571" t="e">
        <f>VLOOKUP(Waste!$D25, REF_WASTE_TYPE_CODE[], 2,FALSE)</f>
        <v>#N/A</v>
      </c>
      <c r="G25" s="675"/>
      <c r="H25" s="676"/>
      <c r="I25" s="451"/>
      <c r="J25" s="452" t="s">
        <v>79</v>
      </c>
      <c r="K25" s="677"/>
      <c r="L25" s="678"/>
      <c r="M25" s="455" t="s">
        <v>79</v>
      </c>
      <c r="N25" s="677"/>
      <c r="O25" s="678"/>
      <c r="P25" s="459" t="s">
        <v>79</v>
      </c>
      <c r="Q25" s="360"/>
      <c r="R25" s="689"/>
      <c r="S25" s="689"/>
      <c r="T25" s="460"/>
      <c r="U25" s="685" t="s">
        <v>79</v>
      </c>
      <c r="V25" s="686"/>
      <c r="X25" s="729"/>
      <c r="Y25" s="729"/>
      <c r="Z25" s="729"/>
      <c r="AA25" s="729"/>
    </row>
    <row r="26" spans="2:29" s="47" customFormat="1" ht="12.75" customHeight="1">
      <c r="B26" s="463">
        <v>4</v>
      </c>
      <c r="C26" s="359"/>
      <c r="D26" s="663"/>
      <c r="E26" s="664"/>
      <c r="F26" s="571" t="e">
        <f>VLOOKUP(Waste!$D26, REF_WASTE_TYPE_CODE[], 2,FALSE)</f>
        <v>#N/A</v>
      </c>
      <c r="G26" s="675"/>
      <c r="H26" s="676"/>
      <c r="I26" s="451"/>
      <c r="J26" s="452" t="s">
        <v>79</v>
      </c>
      <c r="K26" s="677"/>
      <c r="L26" s="678"/>
      <c r="M26" s="455" t="s">
        <v>79</v>
      </c>
      <c r="N26" s="677"/>
      <c r="O26" s="678"/>
      <c r="P26" s="459" t="s">
        <v>79</v>
      </c>
      <c r="Q26" s="360"/>
      <c r="R26" s="689"/>
      <c r="S26" s="689"/>
      <c r="T26" s="460"/>
      <c r="U26" s="685" t="s">
        <v>79</v>
      </c>
      <c r="V26" s="686"/>
      <c r="X26" s="729"/>
      <c r="Y26" s="729"/>
      <c r="Z26" s="729"/>
      <c r="AA26" s="729"/>
    </row>
    <row r="27" spans="2:29" s="47" customFormat="1">
      <c r="B27" s="463">
        <v>5</v>
      </c>
      <c r="C27" s="359"/>
      <c r="D27" s="663"/>
      <c r="E27" s="664"/>
      <c r="F27" s="571" t="e">
        <f>VLOOKUP(Waste!$D27, REF_WASTE_TYPE_CODE[], 2,FALSE)</f>
        <v>#N/A</v>
      </c>
      <c r="G27" s="675"/>
      <c r="H27" s="676"/>
      <c r="I27" s="451"/>
      <c r="J27" s="452" t="s">
        <v>79</v>
      </c>
      <c r="K27" s="677"/>
      <c r="L27" s="678"/>
      <c r="M27" s="455" t="s">
        <v>79</v>
      </c>
      <c r="N27" s="677"/>
      <c r="O27" s="678"/>
      <c r="P27" s="459" t="s">
        <v>79</v>
      </c>
      <c r="Q27" s="360"/>
      <c r="R27" s="689"/>
      <c r="S27" s="689"/>
      <c r="T27" s="460"/>
      <c r="U27" s="685" t="s">
        <v>79</v>
      </c>
      <c r="V27" s="686"/>
      <c r="X27" s="729"/>
      <c r="Y27" s="729"/>
      <c r="Z27" s="729"/>
      <c r="AA27" s="729"/>
    </row>
    <row r="28" spans="2:29" s="47" customFormat="1">
      <c r="B28" s="463">
        <v>6</v>
      </c>
      <c r="C28" s="359"/>
      <c r="D28" s="663"/>
      <c r="E28" s="664"/>
      <c r="F28" s="571" t="e">
        <f>VLOOKUP(Waste!$D28, REF_WASTE_TYPE_CODE[], 2,FALSE)</f>
        <v>#N/A</v>
      </c>
      <c r="G28" s="675"/>
      <c r="H28" s="676"/>
      <c r="I28" s="451"/>
      <c r="J28" s="452" t="s">
        <v>79</v>
      </c>
      <c r="K28" s="677"/>
      <c r="L28" s="678"/>
      <c r="M28" s="455" t="s">
        <v>79</v>
      </c>
      <c r="N28" s="677"/>
      <c r="O28" s="678"/>
      <c r="P28" s="459" t="s">
        <v>79</v>
      </c>
      <c r="Q28" s="360"/>
      <c r="R28" s="689"/>
      <c r="S28" s="689"/>
      <c r="T28" s="460"/>
      <c r="U28" s="685" t="s">
        <v>79</v>
      </c>
      <c r="V28" s="686"/>
      <c r="X28" s="729"/>
      <c r="Y28" s="729"/>
      <c r="Z28" s="729"/>
      <c r="AA28" s="729"/>
    </row>
    <row r="29" spans="2:29" s="47" customFormat="1">
      <c r="B29" s="463">
        <v>7</v>
      </c>
      <c r="C29" s="359"/>
      <c r="D29" s="663"/>
      <c r="E29" s="664"/>
      <c r="F29" s="571" t="e">
        <f>VLOOKUP(Waste!$D29, REF_WASTE_TYPE_CODE[], 2,FALSE)</f>
        <v>#N/A</v>
      </c>
      <c r="G29" s="675"/>
      <c r="H29" s="676"/>
      <c r="I29" s="451"/>
      <c r="J29" s="452" t="s">
        <v>79</v>
      </c>
      <c r="K29" s="677"/>
      <c r="L29" s="678"/>
      <c r="M29" s="455" t="s">
        <v>79</v>
      </c>
      <c r="N29" s="677"/>
      <c r="O29" s="678"/>
      <c r="P29" s="459" t="s">
        <v>79</v>
      </c>
      <c r="Q29" s="360"/>
      <c r="R29" s="689"/>
      <c r="S29" s="689"/>
      <c r="T29" s="460"/>
      <c r="U29" s="685" t="s">
        <v>79</v>
      </c>
      <c r="V29" s="686"/>
      <c r="X29" s="729"/>
      <c r="Y29" s="729"/>
      <c r="Z29" s="729"/>
      <c r="AA29" s="729"/>
    </row>
    <row r="30" spans="2:29" s="47" customFormat="1">
      <c r="B30" s="463">
        <v>8</v>
      </c>
      <c r="C30" s="359"/>
      <c r="D30" s="663"/>
      <c r="E30" s="664"/>
      <c r="F30" s="571" t="e">
        <f>VLOOKUP(Waste!$D30, REF_WASTE_TYPE_CODE[], 2,FALSE)</f>
        <v>#N/A</v>
      </c>
      <c r="G30" s="675"/>
      <c r="H30" s="676"/>
      <c r="I30" s="451"/>
      <c r="J30" s="452" t="s">
        <v>79</v>
      </c>
      <c r="K30" s="677"/>
      <c r="L30" s="678"/>
      <c r="M30" s="455" t="s">
        <v>79</v>
      </c>
      <c r="N30" s="677"/>
      <c r="O30" s="678"/>
      <c r="P30" s="459" t="s">
        <v>79</v>
      </c>
      <c r="Q30" s="360"/>
      <c r="R30" s="689"/>
      <c r="S30" s="689"/>
      <c r="T30" s="460"/>
      <c r="U30" s="685" t="s">
        <v>79</v>
      </c>
      <c r="V30" s="686"/>
      <c r="X30" s="729"/>
      <c r="Y30" s="729"/>
      <c r="Z30" s="729"/>
      <c r="AA30" s="729"/>
    </row>
    <row r="31" spans="2:29" s="47" customFormat="1">
      <c r="B31" s="463">
        <v>9</v>
      </c>
      <c r="C31" s="359"/>
      <c r="D31" s="663"/>
      <c r="E31" s="664"/>
      <c r="F31" s="571" t="e">
        <f>VLOOKUP(Waste!$D31, REF_WASTE_TYPE_CODE[], 2,FALSE)</f>
        <v>#N/A</v>
      </c>
      <c r="G31" s="675"/>
      <c r="H31" s="676"/>
      <c r="I31" s="451"/>
      <c r="J31" s="452" t="s">
        <v>79</v>
      </c>
      <c r="K31" s="677"/>
      <c r="L31" s="678"/>
      <c r="M31" s="455" t="s">
        <v>79</v>
      </c>
      <c r="N31" s="677"/>
      <c r="O31" s="678"/>
      <c r="P31" s="459" t="s">
        <v>79</v>
      </c>
      <c r="Q31" s="360"/>
      <c r="R31" s="689"/>
      <c r="S31" s="689"/>
      <c r="T31" s="460"/>
      <c r="U31" s="685" t="s">
        <v>79</v>
      </c>
      <c r="V31" s="686"/>
      <c r="X31" s="729"/>
      <c r="Y31" s="729"/>
      <c r="Z31" s="729"/>
      <c r="AA31" s="729"/>
    </row>
    <row r="32" spans="2:29" s="47" customFormat="1" ht="12.75" customHeight="1">
      <c r="B32" s="463">
        <v>10</v>
      </c>
      <c r="C32" s="359"/>
      <c r="D32" s="663"/>
      <c r="E32" s="664"/>
      <c r="F32" s="571" t="e">
        <f>VLOOKUP(Waste!$D32, REF_WASTE_TYPE_CODE[], 2,FALSE)</f>
        <v>#N/A</v>
      </c>
      <c r="G32" s="675"/>
      <c r="H32" s="676"/>
      <c r="I32" s="451"/>
      <c r="J32" s="452" t="s">
        <v>79</v>
      </c>
      <c r="K32" s="677"/>
      <c r="L32" s="678"/>
      <c r="M32" s="380" t="s">
        <v>79</v>
      </c>
      <c r="N32" s="677"/>
      <c r="O32" s="678"/>
      <c r="P32" s="459" t="s">
        <v>79</v>
      </c>
      <c r="Q32" s="454"/>
      <c r="R32" s="689"/>
      <c r="S32" s="689"/>
      <c r="T32" s="461"/>
      <c r="U32" s="685" t="s">
        <v>79</v>
      </c>
      <c r="V32" s="686"/>
      <c r="X32" s="729"/>
      <c r="Y32" s="729"/>
      <c r="Z32" s="729"/>
      <c r="AA32" s="729"/>
      <c r="AB32" s="532"/>
      <c r="AC32" s="532"/>
    </row>
    <row r="33" spans="2:29" s="47" customFormat="1">
      <c r="B33" s="463">
        <v>11</v>
      </c>
      <c r="C33" s="359"/>
      <c r="D33" s="663"/>
      <c r="E33" s="664"/>
      <c r="F33" s="571" t="e">
        <f>VLOOKUP(Waste!$D33, REF_WASTE_TYPE_CODE[], 2,FALSE)</f>
        <v>#N/A</v>
      </c>
      <c r="G33" s="675"/>
      <c r="H33" s="676"/>
      <c r="I33" s="451"/>
      <c r="J33" s="452" t="s">
        <v>79</v>
      </c>
      <c r="K33" s="681"/>
      <c r="L33" s="678"/>
      <c r="M33" s="455" t="s">
        <v>79</v>
      </c>
      <c r="N33" s="677"/>
      <c r="O33" s="678"/>
      <c r="P33" s="459" t="s">
        <v>79</v>
      </c>
      <c r="Q33" s="360"/>
      <c r="R33" s="689"/>
      <c r="S33" s="689"/>
      <c r="T33" s="460"/>
      <c r="U33" s="685" t="s">
        <v>79</v>
      </c>
      <c r="V33" s="686"/>
      <c r="X33" s="729"/>
      <c r="Y33" s="729"/>
      <c r="Z33" s="729"/>
      <c r="AA33" s="729"/>
    </row>
    <row r="34" spans="2:29" s="47" customFormat="1">
      <c r="B34" s="463">
        <v>12</v>
      </c>
      <c r="C34" s="359"/>
      <c r="D34" s="663"/>
      <c r="E34" s="664"/>
      <c r="F34" s="571" t="e">
        <f>VLOOKUP(Waste!$D34, REF_WASTE_TYPE_CODE[], 2,FALSE)</f>
        <v>#N/A</v>
      </c>
      <c r="G34" s="675"/>
      <c r="H34" s="676"/>
      <c r="I34" s="451"/>
      <c r="J34" s="452" t="s">
        <v>79</v>
      </c>
      <c r="K34" s="681"/>
      <c r="L34" s="678"/>
      <c r="M34" s="455" t="s">
        <v>79</v>
      </c>
      <c r="N34" s="677"/>
      <c r="O34" s="678"/>
      <c r="P34" s="459" t="s">
        <v>79</v>
      </c>
      <c r="Q34" s="360"/>
      <c r="R34" s="689"/>
      <c r="S34" s="689"/>
      <c r="T34" s="460"/>
      <c r="U34" s="685" t="s">
        <v>79</v>
      </c>
      <c r="V34" s="686"/>
      <c r="X34" s="729"/>
      <c r="Y34" s="729"/>
      <c r="Z34" s="729"/>
      <c r="AA34" s="729"/>
    </row>
    <row r="35" spans="2:29" s="47" customFormat="1">
      <c r="B35" s="463">
        <v>13</v>
      </c>
      <c r="C35" s="359"/>
      <c r="D35" s="665"/>
      <c r="E35" s="666"/>
      <c r="F35" s="571" t="e">
        <f>VLOOKUP(Waste!$D35, REF_WASTE_TYPE_CODE[], 2,FALSE)</f>
        <v>#N/A</v>
      </c>
      <c r="G35" s="675"/>
      <c r="H35" s="676"/>
      <c r="I35" s="451"/>
      <c r="J35" s="452" t="s">
        <v>79</v>
      </c>
      <c r="K35" s="681"/>
      <c r="L35" s="678"/>
      <c r="M35" s="455" t="s">
        <v>79</v>
      </c>
      <c r="N35" s="677"/>
      <c r="O35" s="678"/>
      <c r="P35" s="459" t="s">
        <v>79</v>
      </c>
      <c r="Q35" s="360"/>
      <c r="R35" s="689"/>
      <c r="S35" s="689"/>
      <c r="T35" s="460"/>
      <c r="U35" s="685" t="s">
        <v>79</v>
      </c>
      <c r="V35" s="686"/>
      <c r="X35" s="729"/>
      <c r="Y35" s="729"/>
      <c r="Z35" s="729"/>
      <c r="AA35" s="729"/>
    </row>
    <row r="36" spans="2:29" s="47" customFormat="1">
      <c r="B36" s="463">
        <v>14</v>
      </c>
      <c r="C36" s="359"/>
      <c r="D36" s="665"/>
      <c r="E36" s="666"/>
      <c r="F36" s="571" t="e">
        <f>VLOOKUP(Waste!$D36, REF_WASTE_TYPE_CODE[], 2,FALSE)</f>
        <v>#N/A</v>
      </c>
      <c r="G36" s="675"/>
      <c r="H36" s="676"/>
      <c r="I36" s="451"/>
      <c r="J36" s="452" t="s">
        <v>79</v>
      </c>
      <c r="K36" s="681"/>
      <c r="L36" s="678"/>
      <c r="M36" s="455" t="s">
        <v>79</v>
      </c>
      <c r="N36" s="677"/>
      <c r="O36" s="678"/>
      <c r="P36" s="459" t="s">
        <v>79</v>
      </c>
      <c r="Q36" s="360"/>
      <c r="R36" s="689"/>
      <c r="S36" s="689"/>
      <c r="T36" s="460"/>
      <c r="U36" s="685" t="s">
        <v>79</v>
      </c>
      <c r="V36" s="686"/>
      <c r="X36" s="729"/>
      <c r="Y36" s="729"/>
      <c r="Z36" s="729"/>
      <c r="AA36" s="729"/>
    </row>
    <row r="37" spans="2:29" s="47" customFormat="1">
      <c r="B37" s="463">
        <v>15</v>
      </c>
      <c r="C37" s="359"/>
      <c r="D37" s="665"/>
      <c r="E37" s="666"/>
      <c r="F37" s="571" t="e">
        <f>VLOOKUP(Waste!$D37, REF_WASTE_TYPE_CODE[], 2,FALSE)</f>
        <v>#N/A</v>
      </c>
      <c r="G37" s="675"/>
      <c r="H37" s="676"/>
      <c r="I37" s="451"/>
      <c r="J37" s="452" t="s">
        <v>79</v>
      </c>
      <c r="K37" s="681"/>
      <c r="L37" s="678"/>
      <c r="M37" s="455" t="s">
        <v>79</v>
      </c>
      <c r="N37" s="677"/>
      <c r="O37" s="678"/>
      <c r="P37" s="459" t="s">
        <v>79</v>
      </c>
      <c r="Q37" s="360"/>
      <c r="R37" s="689"/>
      <c r="S37" s="689"/>
      <c r="T37" s="460"/>
      <c r="U37" s="685" t="s">
        <v>79</v>
      </c>
      <c r="V37" s="686"/>
      <c r="X37" s="729"/>
      <c r="Y37" s="729"/>
      <c r="Z37" s="729"/>
      <c r="AA37" s="729"/>
    </row>
    <row r="38" spans="2:29" s="47" customFormat="1">
      <c r="B38" s="463">
        <v>16</v>
      </c>
      <c r="C38" s="359"/>
      <c r="D38" s="665"/>
      <c r="E38" s="666"/>
      <c r="F38" s="571" t="e">
        <f>VLOOKUP(Waste!$D38, REF_WASTE_TYPE_CODE[], 2,FALSE)</f>
        <v>#N/A</v>
      </c>
      <c r="G38" s="675"/>
      <c r="H38" s="676"/>
      <c r="I38" s="451"/>
      <c r="J38" s="452" t="s">
        <v>79</v>
      </c>
      <c r="K38" s="681"/>
      <c r="L38" s="678"/>
      <c r="M38" s="455" t="s">
        <v>79</v>
      </c>
      <c r="N38" s="677"/>
      <c r="O38" s="678"/>
      <c r="P38" s="459" t="s">
        <v>79</v>
      </c>
      <c r="Q38" s="360"/>
      <c r="R38" s="689"/>
      <c r="S38" s="689"/>
      <c r="T38" s="460"/>
      <c r="U38" s="685" t="s">
        <v>79</v>
      </c>
      <c r="V38" s="686"/>
      <c r="X38" s="729"/>
      <c r="Y38" s="729"/>
      <c r="Z38" s="729"/>
      <c r="AA38" s="729"/>
      <c r="AB38" s="533"/>
      <c r="AC38" s="533"/>
    </row>
    <row r="39" spans="2:29" s="47" customFormat="1">
      <c r="B39" s="463">
        <v>17</v>
      </c>
      <c r="C39" s="359"/>
      <c r="D39" s="665"/>
      <c r="E39" s="666"/>
      <c r="F39" s="571" t="e">
        <f>VLOOKUP(Waste!$D39, REF_WASTE_TYPE_CODE[], 2,FALSE)</f>
        <v>#N/A</v>
      </c>
      <c r="G39" s="675"/>
      <c r="H39" s="676"/>
      <c r="I39" s="451"/>
      <c r="J39" s="452" t="s">
        <v>79</v>
      </c>
      <c r="K39" s="681"/>
      <c r="L39" s="678"/>
      <c r="M39" s="455" t="s">
        <v>79</v>
      </c>
      <c r="N39" s="677"/>
      <c r="O39" s="678"/>
      <c r="P39" s="459" t="s">
        <v>79</v>
      </c>
      <c r="Q39" s="360"/>
      <c r="R39" s="689"/>
      <c r="S39" s="689"/>
      <c r="T39" s="460"/>
      <c r="U39" s="685" t="s">
        <v>79</v>
      </c>
      <c r="V39" s="686"/>
      <c r="X39" s="729"/>
      <c r="Y39" s="729"/>
      <c r="Z39" s="729"/>
      <c r="AA39" s="729"/>
      <c r="AB39" s="533"/>
      <c r="AC39" s="533"/>
    </row>
    <row r="40" spans="2:29" s="47" customFormat="1">
      <c r="B40" s="463">
        <v>18</v>
      </c>
      <c r="C40" s="359"/>
      <c r="D40" s="665"/>
      <c r="E40" s="666"/>
      <c r="F40" s="571" t="e">
        <f>VLOOKUP(Waste!$D40, REF_WASTE_TYPE_CODE[], 2,FALSE)</f>
        <v>#N/A</v>
      </c>
      <c r="G40" s="675"/>
      <c r="H40" s="676"/>
      <c r="I40" s="451"/>
      <c r="J40" s="452" t="s">
        <v>79</v>
      </c>
      <c r="K40" s="681"/>
      <c r="L40" s="678"/>
      <c r="M40" s="455" t="s">
        <v>79</v>
      </c>
      <c r="N40" s="677"/>
      <c r="O40" s="678"/>
      <c r="P40" s="459" t="s">
        <v>79</v>
      </c>
      <c r="Q40" s="360"/>
      <c r="R40" s="689"/>
      <c r="S40" s="689"/>
      <c r="T40" s="460"/>
      <c r="U40" s="685" t="s">
        <v>79</v>
      </c>
      <c r="V40" s="686"/>
      <c r="X40" s="729"/>
      <c r="Y40" s="729"/>
      <c r="Z40" s="729"/>
      <c r="AA40" s="729"/>
      <c r="AB40" s="533"/>
      <c r="AC40" s="533"/>
    </row>
    <row r="41" spans="2:29" s="47" customFormat="1">
      <c r="B41" s="463">
        <v>19</v>
      </c>
      <c r="C41" s="359"/>
      <c r="D41" s="665"/>
      <c r="E41" s="666"/>
      <c r="F41" s="571" t="e">
        <f>VLOOKUP(Waste!$D41, REF_WASTE_TYPE_CODE[], 2,FALSE)</f>
        <v>#N/A</v>
      </c>
      <c r="G41" s="675"/>
      <c r="H41" s="676"/>
      <c r="I41" s="451"/>
      <c r="J41" s="452" t="s">
        <v>79</v>
      </c>
      <c r="K41" s="681"/>
      <c r="L41" s="678"/>
      <c r="M41" s="455" t="s">
        <v>79</v>
      </c>
      <c r="N41" s="677"/>
      <c r="O41" s="678"/>
      <c r="P41" s="459" t="s">
        <v>79</v>
      </c>
      <c r="Q41" s="360"/>
      <c r="R41" s="689"/>
      <c r="S41" s="689"/>
      <c r="T41" s="460"/>
      <c r="U41" s="685" t="s">
        <v>79</v>
      </c>
      <c r="V41" s="686"/>
      <c r="X41" s="729"/>
      <c r="Y41" s="729"/>
      <c r="Z41" s="729"/>
      <c r="AA41" s="729"/>
    </row>
    <row r="42" spans="2:29" s="47" customFormat="1">
      <c r="B42" s="463">
        <v>20</v>
      </c>
      <c r="C42" s="359"/>
      <c r="D42" s="665"/>
      <c r="E42" s="666"/>
      <c r="F42" s="571" t="e">
        <f>VLOOKUP(Waste!$D42, REF_WASTE_TYPE_CODE[], 2,FALSE)</f>
        <v>#N/A</v>
      </c>
      <c r="G42" s="675"/>
      <c r="H42" s="676"/>
      <c r="I42" s="451"/>
      <c r="J42" s="452" t="s">
        <v>79</v>
      </c>
      <c r="K42" s="681"/>
      <c r="L42" s="678"/>
      <c r="M42" s="455" t="s">
        <v>79</v>
      </c>
      <c r="N42" s="677"/>
      <c r="O42" s="678"/>
      <c r="P42" s="459" t="s">
        <v>79</v>
      </c>
      <c r="Q42" s="360"/>
      <c r="R42" s="689"/>
      <c r="S42" s="689"/>
      <c r="T42" s="460"/>
      <c r="U42" s="685" t="s">
        <v>79</v>
      </c>
      <c r="V42" s="686"/>
    </row>
    <row r="43" spans="2:29" s="47" customFormat="1">
      <c r="B43" s="463">
        <v>21</v>
      </c>
      <c r="C43" s="359"/>
      <c r="D43" s="665"/>
      <c r="E43" s="666"/>
      <c r="F43" s="571" t="e">
        <f>VLOOKUP(Waste!$D43, REF_WASTE_TYPE_CODE[], 2,FALSE)</f>
        <v>#N/A</v>
      </c>
      <c r="G43" s="675"/>
      <c r="H43" s="676"/>
      <c r="I43" s="451"/>
      <c r="J43" s="452" t="s">
        <v>79</v>
      </c>
      <c r="K43" s="681"/>
      <c r="L43" s="678"/>
      <c r="M43" s="455" t="s">
        <v>79</v>
      </c>
      <c r="N43" s="677"/>
      <c r="O43" s="678"/>
      <c r="P43" s="459" t="s">
        <v>79</v>
      </c>
      <c r="Q43" s="360"/>
      <c r="R43" s="689"/>
      <c r="S43" s="689"/>
      <c r="T43" s="460"/>
      <c r="U43" s="685" t="s">
        <v>79</v>
      </c>
      <c r="V43" s="686"/>
    </row>
    <row r="44" spans="2:29" s="47" customFormat="1">
      <c r="B44" s="463">
        <v>22</v>
      </c>
      <c r="C44" s="359"/>
      <c r="D44" s="665"/>
      <c r="E44" s="666"/>
      <c r="F44" s="571" t="e">
        <f>VLOOKUP(Waste!$D44, REF_WASTE_TYPE_CODE[], 2,FALSE)</f>
        <v>#N/A</v>
      </c>
      <c r="G44" s="675"/>
      <c r="H44" s="676"/>
      <c r="I44" s="451"/>
      <c r="J44" s="452" t="s">
        <v>79</v>
      </c>
      <c r="K44" s="681"/>
      <c r="L44" s="678"/>
      <c r="M44" s="455" t="s">
        <v>79</v>
      </c>
      <c r="N44" s="677"/>
      <c r="O44" s="678"/>
      <c r="P44" s="459" t="s">
        <v>79</v>
      </c>
      <c r="Q44" s="360"/>
      <c r="R44" s="689"/>
      <c r="S44" s="689"/>
      <c r="T44" s="460"/>
      <c r="U44" s="685" t="s">
        <v>79</v>
      </c>
      <c r="V44" s="686"/>
    </row>
    <row r="45" spans="2:29" s="47" customFormat="1">
      <c r="B45" s="463">
        <v>23</v>
      </c>
      <c r="C45" s="359"/>
      <c r="D45" s="665"/>
      <c r="E45" s="666"/>
      <c r="F45" s="571" t="e">
        <f>VLOOKUP(Waste!$D45, REF_WASTE_TYPE_CODE[], 2,FALSE)</f>
        <v>#N/A</v>
      </c>
      <c r="G45" s="675"/>
      <c r="H45" s="676"/>
      <c r="I45" s="451"/>
      <c r="J45" s="452" t="s">
        <v>79</v>
      </c>
      <c r="K45" s="681"/>
      <c r="L45" s="678"/>
      <c r="M45" s="455" t="s">
        <v>79</v>
      </c>
      <c r="N45" s="677"/>
      <c r="O45" s="678"/>
      <c r="P45" s="459" t="s">
        <v>79</v>
      </c>
      <c r="Q45" s="360"/>
      <c r="R45" s="689"/>
      <c r="S45" s="689"/>
      <c r="T45" s="460"/>
      <c r="U45" s="685" t="s">
        <v>79</v>
      </c>
      <c r="V45" s="686"/>
    </row>
    <row r="46" spans="2:29" s="47" customFormat="1">
      <c r="B46" s="463">
        <v>24</v>
      </c>
      <c r="C46" s="359"/>
      <c r="D46" s="665"/>
      <c r="E46" s="666"/>
      <c r="F46" s="571" t="e">
        <f>VLOOKUP(Waste!$D46, REF_WASTE_TYPE_CODE[], 2,FALSE)</f>
        <v>#N/A</v>
      </c>
      <c r="G46" s="675"/>
      <c r="H46" s="676"/>
      <c r="I46" s="451"/>
      <c r="J46" s="452" t="s">
        <v>79</v>
      </c>
      <c r="K46" s="681"/>
      <c r="L46" s="678"/>
      <c r="M46" s="455" t="s">
        <v>79</v>
      </c>
      <c r="N46" s="677"/>
      <c r="O46" s="678"/>
      <c r="P46" s="459" t="s">
        <v>79</v>
      </c>
      <c r="Q46" s="360"/>
      <c r="R46" s="689"/>
      <c r="S46" s="689"/>
      <c r="T46" s="460"/>
      <c r="U46" s="685" t="s">
        <v>79</v>
      </c>
      <c r="V46" s="686"/>
    </row>
    <row r="47" spans="2:29" s="47" customFormat="1">
      <c r="B47" s="463">
        <v>25</v>
      </c>
      <c r="C47" s="359"/>
      <c r="D47" s="665"/>
      <c r="E47" s="666"/>
      <c r="F47" s="571" t="e">
        <f>VLOOKUP(Waste!$D47, REF_WASTE_TYPE_CODE[], 2,FALSE)</f>
        <v>#N/A</v>
      </c>
      <c r="G47" s="675"/>
      <c r="H47" s="676"/>
      <c r="I47" s="451"/>
      <c r="J47" s="452" t="s">
        <v>79</v>
      </c>
      <c r="K47" s="681"/>
      <c r="L47" s="678"/>
      <c r="M47" s="455" t="s">
        <v>79</v>
      </c>
      <c r="N47" s="677"/>
      <c r="O47" s="678"/>
      <c r="P47" s="459" t="s">
        <v>79</v>
      </c>
      <c r="Q47" s="360"/>
      <c r="R47" s="689"/>
      <c r="S47" s="689"/>
      <c r="T47" s="460"/>
      <c r="U47" s="685" t="s">
        <v>79</v>
      </c>
      <c r="V47" s="686"/>
    </row>
    <row r="48" spans="2:29" s="47" customFormat="1">
      <c r="B48" s="463">
        <v>26</v>
      </c>
      <c r="C48" s="359"/>
      <c r="D48" s="665"/>
      <c r="E48" s="666"/>
      <c r="F48" s="571" t="e">
        <f>VLOOKUP(Waste!$D48, REF_WASTE_TYPE_CODE[], 2,FALSE)</f>
        <v>#N/A</v>
      </c>
      <c r="G48" s="675"/>
      <c r="H48" s="676"/>
      <c r="I48" s="451"/>
      <c r="J48" s="452" t="s">
        <v>79</v>
      </c>
      <c r="K48" s="681"/>
      <c r="L48" s="678"/>
      <c r="M48" s="455" t="s">
        <v>79</v>
      </c>
      <c r="N48" s="677"/>
      <c r="O48" s="678"/>
      <c r="P48" s="459" t="s">
        <v>79</v>
      </c>
      <c r="Q48" s="360"/>
      <c r="R48" s="689"/>
      <c r="S48" s="689"/>
      <c r="T48" s="460"/>
      <c r="U48" s="685" t="s">
        <v>79</v>
      </c>
      <c r="V48" s="686"/>
    </row>
    <row r="49" spans="2:22" s="47" customFormat="1">
      <c r="B49" s="463">
        <v>27</v>
      </c>
      <c r="C49" s="359"/>
      <c r="D49" s="665"/>
      <c r="E49" s="666"/>
      <c r="F49" s="571" t="e">
        <f>VLOOKUP(Waste!$D49, REF_WASTE_TYPE_CODE[], 2,FALSE)</f>
        <v>#N/A</v>
      </c>
      <c r="G49" s="675"/>
      <c r="H49" s="676"/>
      <c r="I49" s="451"/>
      <c r="J49" s="452" t="s">
        <v>79</v>
      </c>
      <c r="K49" s="681"/>
      <c r="L49" s="678"/>
      <c r="M49" s="455" t="s">
        <v>79</v>
      </c>
      <c r="N49" s="677"/>
      <c r="O49" s="678"/>
      <c r="P49" s="459" t="s">
        <v>79</v>
      </c>
      <c r="Q49" s="360"/>
      <c r="R49" s="689"/>
      <c r="S49" s="689"/>
      <c r="T49" s="460"/>
      <c r="U49" s="685" t="s">
        <v>79</v>
      </c>
      <c r="V49" s="686"/>
    </row>
    <row r="50" spans="2:22" s="47" customFormat="1">
      <c r="B50" s="463">
        <v>28</v>
      </c>
      <c r="C50" s="359"/>
      <c r="D50" s="665"/>
      <c r="E50" s="666"/>
      <c r="F50" s="571" t="e">
        <f>VLOOKUP(Waste!$D50, REF_WASTE_TYPE_CODE[], 2,FALSE)</f>
        <v>#N/A</v>
      </c>
      <c r="G50" s="675"/>
      <c r="H50" s="676"/>
      <c r="I50" s="451"/>
      <c r="J50" s="452" t="s">
        <v>79</v>
      </c>
      <c r="K50" s="681"/>
      <c r="L50" s="678"/>
      <c r="M50" s="455" t="s">
        <v>79</v>
      </c>
      <c r="N50" s="677"/>
      <c r="O50" s="678"/>
      <c r="P50" s="459" t="s">
        <v>79</v>
      </c>
      <c r="Q50" s="360"/>
      <c r="R50" s="689"/>
      <c r="S50" s="689"/>
      <c r="T50" s="460"/>
      <c r="U50" s="685" t="s">
        <v>79</v>
      </c>
      <c r="V50" s="686"/>
    </row>
    <row r="51" spans="2:22" s="47" customFormat="1">
      <c r="B51" s="463">
        <v>29</v>
      </c>
      <c r="C51" s="359"/>
      <c r="D51" s="665"/>
      <c r="E51" s="666"/>
      <c r="F51" s="571" t="e">
        <f>VLOOKUP(Waste!$D51, REF_WASTE_TYPE_CODE[], 2,FALSE)</f>
        <v>#N/A</v>
      </c>
      <c r="G51" s="675"/>
      <c r="H51" s="676"/>
      <c r="I51" s="451"/>
      <c r="J51" s="452" t="s">
        <v>79</v>
      </c>
      <c r="K51" s="681"/>
      <c r="L51" s="678"/>
      <c r="M51" s="455" t="s">
        <v>79</v>
      </c>
      <c r="N51" s="677"/>
      <c r="O51" s="678"/>
      <c r="P51" s="459" t="s">
        <v>79</v>
      </c>
      <c r="Q51" s="360"/>
      <c r="R51" s="689"/>
      <c r="S51" s="689"/>
      <c r="T51" s="460"/>
      <c r="U51" s="685" t="s">
        <v>79</v>
      </c>
      <c r="V51" s="686"/>
    </row>
    <row r="52" spans="2:22" s="47" customFormat="1">
      <c r="B52" s="463">
        <v>30</v>
      </c>
      <c r="C52" s="359"/>
      <c r="D52" s="665"/>
      <c r="E52" s="666"/>
      <c r="F52" s="571" t="e">
        <f>VLOOKUP(Waste!$D52, REF_WASTE_TYPE_CODE[], 2,FALSE)</f>
        <v>#N/A</v>
      </c>
      <c r="G52" s="675"/>
      <c r="H52" s="676"/>
      <c r="I52" s="451"/>
      <c r="J52" s="452" t="s">
        <v>79</v>
      </c>
      <c r="K52" s="681"/>
      <c r="L52" s="678"/>
      <c r="M52" s="455" t="s">
        <v>79</v>
      </c>
      <c r="N52" s="677"/>
      <c r="O52" s="678"/>
      <c r="P52" s="459" t="s">
        <v>79</v>
      </c>
      <c r="Q52" s="360"/>
      <c r="R52" s="689"/>
      <c r="S52" s="689"/>
      <c r="T52" s="460"/>
      <c r="U52" s="685" t="s">
        <v>79</v>
      </c>
      <c r="V52" s="686"/>
    </row>
    <row r="53" spans="2:22" s="47" customFormat="1">
      <c r="B53" s="463">
        <v>31</v>
      </c>
      <c r="C53" s="359"/>
      <c r="D53" s="665"/>
      <c r="E53" s="666"/>
      <c r="F53" s="571" t="e">
        <f>VLOOKUP(Waste!$D53, REF_WASTE_TYPE_CODE[], 2,FALSE)</f>
        <v>#N/A</v>
      </c>
      <c r="G53" s="675"/>
      <c r="H53" s="676"/>
      <c r="I53" s="451"/>
      <c r="J53" s="452" t="s">
        <v>79</v>
      </c>
      <c r="K53" s="681"/>
      <c r="L53" s="678"/>
      <c r="M53" s="455" t="s">
        <v>79</v>
      </c>
      <c r="N53" s="677"/>
      <c r="O53" s="678"/>
      <c r="P53" s="459" t="s">
        <v>79</v>
      </c>
      <c r="Q53" s="360"/>
      <c r="R53" s="689"/>
      <c r="S53" s="689"/>
      <c r="T53" s="460"/>
      <c r="U53" s="685" t="s">
        <v>79</v>
      </c>
      <c r="V53" s="686"/>
    </row>
    <row r="54" spans="2:22" s="47" customFormat="1">
      <c r="B54" s="463">
        <v>32</v>
      </c>
      <c r="C54" s="359"/>
      <c r="D54" s="665"/>
      <c r="E54" s="666"/>
      <c r="F54" s="571" t="e">
        <f>VLOOKUP(Waste!$D54, REF_WASTE_TYPE_CODE[], 2,FALSE)</f>
        <v>#N/A</v>
      </c>
      <c r="G54" s="675"/>
      <c r="H54" s="676"/>
      <c r="I54" s="451"/>
      <c r="J54" s="452" t="s">
        <v>79</v>
      </c>
      <c r="K54" s="681"/>
      <c r="L54" s="678"/>
      <c r="M54" s="455" t="s">
        <v>79</v>
      </c>
      <c r="N54" s="677"/>
      <c r="O54" s="678"/>
      <c r="P54" s="459" t="s">
        <v>79</v>
      </c>
      <c r="Q54" s="360"/>
      <c r="R54" s="689"/>
      <c r="S54" s="689"/>
      <c r="T54" s="460"/>
      <c r="U54" s="685" t="s">
        <v>79</v>
      </c>
      <c r="V54" s="686"/>
    </row>
    <row r="55" spans="2:22" s="47" customFormat="1">
      <c r="B55" s="463">
        <v>33</v>
      </c>
      <c r="C55" s="359"/>
      <c r="D55" s="665"/>
      <c r="E55" s="666"/>
      <c r="F55" s="571" t="e">
        <f>VLOOKUP(Waste!$D55, REF_WASTE_TYPE_CODE[], 2,FALSE)</f>
        <v>#N/A</v>
      </c>
      <c r="G55" s="675"/>
      <c r="H55" s="676"/>
      <c r="I55" s="451"/>
      <c r="J55" s="452" t="s">
        <v>79</v>
      </c>
      <c r="K55" s="681"/>
      <c r="L55" s="678"/>
      <c r="M55" s="455" t="s">
        <v>79</v>
      </c>
      <c r="N55" s="677"/>
      <c r="O55" s="678"/>
      <c r="P55" s="459" t="s">
        <v>79</v>
      </c>
      <c r="Q55" s="360"/>
      <c r="R55" s="689"/>
      <c r="S55" s="689"/>
      <c r="T55" s="460"/>
      <c r="U55" s="685" t="s">
        <v>79</v>
      </c>
      <c r="V55" s="686"/>
    </row>
    <row r="56" spans="2:22" s="47" customFormat="1">
      <c r="B56" s="463">
        <v>34</v>
      </c>
      <c r="C56" s="359"/>
      <c r="D56" s="665"/>
      <c r="E56" s="666"/>
      <c r="F56" s="571" t="e">
        <f>VLOOKUP(Waste!$D56, REF_WASTE_TYPE_CODE[], 2,FALSE)</f>
        <v>#N/A</v>
      </c>
      <c r="G56" s="675"/>
      <c r="H56" s="676"/>
      <c r="I56" s="451"/>
      <c r="J56" s="452" t="s">
        <v>79</v>
      </c>
      <c r="K56" s="681"/>
      <c r="L56" s="678"/>
      <c r="M56" s="455" t="s">
        <v>79</v>
      </c>
      <c r="N56" s="677"/>
      <c r="O56" s="678"/>
      <c r="P56" s="459" t="s">
        <v>79</v>
      </c>
      <c r="Q56" s="360"/>
      <c r="R56" s="689"/>
      <c r="S56" s="689"/>
      <c r="T56" s="460"/>
      <c r="U56" s="685" t="s">
        <v>79</v>
      </c>
      <c r="V56" s="686"/>
    </row>
    <row r="57" spans="2:22" s="47" customFormat="1">
      <c r="B57" s="463">
        <v>35</v>
      </c>
      <c r="C57" s="359"/>
      <c r="D57" s="665"/>
      <c r="E57" s="666"/>
      <c r="F57" s="571" t="e">
        <f>VLOOKUP(Waste!$D57, REF_WASTE_TYPE_CODE[], 2,FALSE)</f>
        <v>#N/A</v>
      </c>
      <c r="G57" s="675"/>
      <c r="H57" s="676"/>
      <c r="I57" s="451"/>
      <c r="J57" s="452" t="s">
        <v>79</v>
      </c>
      <c r="K57" s="681"/>
      <c r="L57" s="678"/>
      <c r="M57" s="455" t="s">
        <v>79</v>
      </c>
      <c r="N57" s="677"/>
      <c r="O57" s="678"/>
      <c r="P57" s="459" t="s">
        <v>79</v>
      </c>
      <c r="Q57" s="360"/>
      <c r="R57" s="689"/>
      <c r="S57" s="689"/>
      <c r="T57" s="460"/>
      <c r="U57" s="685" t="s">
        <v>79</v>
      </c>
      <c r="V57" s="686"/>
    </row>
    <row r="58" spans="2:22" s="47" customFormat="1" ht="13.8" thickBot="1">
      <c r="B58" s="464">
        <v>36</v>
      </c>
      <c r="C58" s="550"/>
      <c r="D58" s="667"/>
      <c r="E58" s="668"/>
      <c r="F58" s="572" t="e">
        <f>VLOOKUP(Waste!$D58, REF_WASTE_TYPE_CODE[], 2,FALSE)</f>
        <v>#N/A</v>
      </c>
      <c r="G58" s="679"/>
      <c r="H58" s="680"/>
      <c r="I58" s="453"/>
      <c r="J58" s="551" t="s">
        <v>79</v>
      </c>
      <c r="K58" s="682"/>
      <c r="L58" s="683"/>
      <c r="M58" s="456" t="s">
        <v>79</v>
      </c>
      <c r="N58" s="727"/>
      <c r="O58" s="683"/>
      <c r="P58" s="551" t="s">
        <v>79</v>
      </c>
      <c r="Q58" s="361"/>
      <c r="R58" s="728"/>
      <c r="S58" s="728"/>
      <c r="T58" s="549"/>
      <c r="U58" s="687" t="s">
        <v>79</v>
      </c>
      <c r="V58" s="688"/>
    </row>
    <row r="59" spans="2:22" s="47" customFormat="1" ht="13.8" thickTop="1"/>
    <row r="60" spans="2:22" hidden="1">
      <c r="B60" s="3" t="s">
        <v>2407</v>
      </c>
      <c r="C60" s="587" t="s">
        <v>2435</v>
      </c>
    </row>
  </sheetData>
  <sheetProtection algorithmName="SHA-512" hashValue="GpY2cKCEldI9Rp2Ya7Od1xj7OCtPBD4cptEV+zBfHk9Fpp1HI0OG6HjfNRdtaroJs6jQt0YOKT9h9CbET3Jv/A==" saltValue="FG/KZyWaNg5cMb3ho4VqPA==" spinCount="100000" sheet="1" formatCells="0" formatColumns="0" formatRows="0" selectLockedCells="1"/>
  <dataConsolidate link="1"/>
  <mergeCells count="266">
    <mergeCell ref="X13:AA18"/>
    <mergeCell ref="X23:AA41"/>
    <mergeCell ref="H18:K18"/>
    <mergeCell ref="F17:G17"/>
    <mergeCell ref="F16:G16"/>
    <mergeCell ref="F7:F11"/>
    <mergeCell ref="G7:G8"/>
    <mergeCell ref="I7:L7"/>
    <mergeCell ref="I8:L8"/>
    <mergeCell ref="I9:L9"/>
    <mergeCell ref="I10:L10"/>
    <mergeCell ref="I11:L11"/>
    <mergeCell ref="H15:K15"/>
    <mergeCell ref="H16:K16"/>
    <mergeCell ref="H17:K17"/>
    <mergeCell ref="G9:G10"/>
    <mergeCell ref="R40:S40"/>
    <mergeCell ref="R41:S41"/>
    <mergeCell ref="N35:O35"/>
    <mergeCell ref="N36:O36"/>
    <mergeCell ref="N37:O37"/>
    <mergeCell ref="N38:O38"/>
    <mergeCell ref="N39:O39"/>
    <mergeCell ref="N40:O40"/>
    <mergeCell ref="R58:S58"/>
    <mergeCell ref="R49:S49"/>
    <mergeCell ref="R50:S50"/>
    <mergeCell ref="R51:S51"/>
    <mergeCell ref="R52:S52"/>
    <mergeCell ref="R53:S53"/>
    <mergeCell ref="R54:S54"/>
    <mergeCell ref="R55:S55"/>
    <mergeCell ref="R56:S56"/>
    <mergeCell ref="R57:S57"/>
    <mergeCell ref="R48:S48"/>
    <mergeCell ref="R22:S22"/>
    <mergeCell ref="R23:S23"/>
    <mergeCell ref="R24:S24"/>
    <mergeCell ref="R25:S25"/>
    <mergeCell ref="R26:S26"/>
    <mergeCell ref="R27:S27"/>
    <mergeCell ref="R28:S28"/>
    <mergeCell ref="R29:S29"/>
    <mergeCell ref="R30:S30"/>
    <mergeCell ref="R31:S31"/>
    <mergeCell ref="R32:S32"/>
    <mergeCell ref="R33:S33"/>
    <mergeCell ref="R34:S34"/>
    <mergeCell ref="R35:S35"/>
    <mergeCell ref="R36:S36"/>
    <mergeCell ref="R37:S37"/>
    <mergeCell ref="R38:S38"/>
    <mergeCell ref="N41:O41"/>
    <mergeCell ref="N42:O42"/>
    <mergeCell ref="N43:O43"/>
    <mergeCell ref="R42:S42"/>
    <mergeCell ref="R43:S43"/>
    <mergeCell ref="R44:S44"/>
    <mergeCell ref="R45:S45"/>
    <mergeCell ref="R46:S46"/>
    <mergeCell ref="R47:S47"/>
    <mergeCell ref="N54:O54"/>
    <mergeCell ref="N55:O55"/>
    <mergeCell ref="N56:O56"/>
    <mergeCell ref="N57:O57"/>
    <mergeCell ref="N58:O58"/>
    <mergeCell ref="N44:O44"/>
    <mergeCell ref="N45:O45"/>
    <mergeCell ref="N46:O46"/>
    <mergeCell ref="N47:O47"/>
    <mergeCell ref="N48:O48"/>
    <mergeCell ref="N49:O49"/>
    <mergeCell ref="N50:O50"/>
    <mergeCell ref="N51:O51"/>
    <mergeCell ref="N52:O52"/>
    <mergeCell ref="N22:O22"/>
    <mergeCell ref="N23:O23"/>
    <mergeCell ref="N24:O24"/>
    <mergeCell ref="N25:O25"/>
    <mergeCell ref="N26:O26"/>
    <mergeCell ref="N5:X6"/>
    <mergeCell ref="N9:Q9"/>
    <mergeCell ref="N10:Q10"/>
    <mergeCell ref="R7:X7"/>
    <mergeCell ref="R8:X8"/>
    <mergeCell ref="R9:X9"/>
    <mergeCell ref="R10:X10"/>
    <mergeCell ref="N7:Q8"/>
    <mergeCell ref="P15:T15"/>
    <mergeCell ref="P16:T16"/>
    <mergeCell ref="P17:T17"/>
    <mergeCell ref="P18:T18"/>
    <mergeCell ref="L15:O15"/>
    <mergeCell ref="L16:O16"/>
    <mergeCell ref="L17:O17"/>
    <mergeCell ref="L18:O18"/>
    <mergeCell ref="F13:T14"/>
    <mergeCell ref="F15:G15"/>
    <mergeCell ref="F18:G18"/>
    <mergeCell ref="K22:L22"/>
    <mergeCell ref="K23:L23"/>
    <mergeCell ref="K24:L24"/>
    <mergeCell ref="K25:L25"/>
    <mergeCell ref="K26:L26"/>
    <mergeCell ref="G22:H22"/>
    <mergeCell ref="G23:H23"/>
    <mergeCell ref="G24:H24"/>
    <mergeCell ref="G25:H25"/>
    <mergeCell ref="G26:H26"/>
    <mergeCell ref="N27:O27"/>
    <mergeCell ref="N28:O28"/>
    <mergeCell ref="N29:O29"/>
    <mergeCell ref="N30:O30"/>
    <mergeCell ref="N31:O31"/>
    <mergeCell ref="N32:O32"/>
    <mergeCell ref="N33:O33"/>
    <mergeCell ref="N34:O34"/>
    <mergeCell ref="U53:V53"/>
    <mergeCell ref="U31:V31"/>
    <mergeCell ref="U32:V32"/>
    <mergeCell ref="U33:V33"/>
    <mergeCell ref="U34:V34"/>
    <mergeCell ref="U35:V35"/>
    <mergeCell ref="U36:V36"/>
    <mergeCell ref="U37:V37"/>
    <mergeCell ref="U38:V38"/>
    <mergeCell ref="U39:V39"/>
    <mergeCell ref="U40:V40"/>
    <mergeCell ref="U41:V41"/>
    <mergeCell ref="U42:V42"/>
    <mergeCell ref="U43:V43"/>
    <mergeCell ref="R39:S39"/>
    <mergeCell ref="N53:O53"/>
    <mergeCell ref="U54:V54"/>
    <mergeCell ref="U55:V55"/>
    <mergeCell ref="U56:V56"/>
    <mergeCell ref="U57:V57"/>
    <mergeCell ref="U58:V58"/>
    <mergeCell ref="U44:V44"/>
    <mergeCell ref="U45:V45"/>
    <mergeCell ref="U46:V46"/>
    <mergeCell ref="U47:V47"/>
    <mergeCell ref="U48:V48"/>
    <mergeCell ref="U49:V49"/>
    <mergeCell ref="U50:V50"/>
    <mergeCell ref="U51:V51"/>
    <mergeCell ref="U52:V52"/>
    <mergeCell ref="U22:V22"/>
    <mergeCell ref="U23:V23"/>
    <mergeCell ref="U24:V24"/>
    <mergeCell ref="U25:V25"/>
    <mergeCell ref="U26:V26"/>
    <mergeCell ref="U27:V27"/>
    <mergeCell ref="U28:V28"/>
    <mergeCell ref="U29:V29"/>
    <mergeCell ref="U30:V30"/>
    <mergeCell ref="K57:L57"/>
    <mergeCell ref="K58:L58"/>
    <mergeCell ref="K48:L48"/>
    <mergeCell ref="K49:L49"/>
    <mergeCell ref="K50:L50"/>
    <mergeCell ref="K51:L51"/>
    <mergeCell ref="K52:L52"/>
    <mergeCell ref="K53:L53"/>
    <mergeCell ref="K54:L54"/>
    <mergeCell ref="K55:L55"/>
    <mergeCell ref="K56:L56"/>
    <mergeCell ref="K39:L39"/>
    <mergeCell ref="K40:L40"/>
    <mergeCell ref="K41:L41"/>
    <mergeCell ref="K42:L42"/>
    <mergeCell ref="K43:L43"/>
    <mergeCell ref="K44:L44"/>
    <mergeCell ref="K45:L45"/>
    <mergeCell ref="K46:L46"/>
    <mergeCell ref="K47:L47"/>
    <mergeCell ref="K30:L30"/>
    <mergeCell ref="K31:L31"/>
    <mergeCell ref="K32:L32"/>
    <mergeCell ref="K33:L33"/>
    <mergeCell ref="K34:L34"/>
    <mergeCell ref="K35:L35"/>
    <mergeCell ref="K36:L36"/>
    <mergeCell ref="K37:L37"/>
    <mergeCell ref="K38:L38"/>
    <mergeCell ref="K27:L27"/>
    <mergeCell ref="K28:L28"/>
    <mergeCell ref="K29:L29"/>
    <mergeCell ref="G58:H58"/>
    <mergeCell ref="G49:H49"/>
    <mergeCell ref="G50:H50"/>
    <mergeCell ref="G51:H51"/>
    <mergeCell ref="G52:H52"/>
    <mergeCell ref="G53:H53"/>
    <mergeCell ref="G54:H54"/>
    <mergeCell ref="G55:H55"/>
    <mergeCell ref="G56:H56"/>
    <mergeCell ref="G57:H57"/>
    <mergeCell ref="G40:H40"/>
    <mergeCell ref="G41:H41"/>
    <mergeCell ref="G42:H42"/>
    <mergeCell ref="G43:H43"/>
    <mergeCell ref="G44:H44"/>
    <mergeCell ref="G45:H45"/>
    <mergeCell ref="G46:H46"/>
    <mergeCell ref="G47:H47"/>
    <mergeCell ref="G48:H48"/>
    <mergeCell ref="G31:H31"/>
    <mergeCell ref="G32:H32"/>
    <mergeCell ref="G33:H33"/>
    <mergeCell ref="G34:H34"/>
    <mergeCell ref="G35:H35"/>
    <mergeCell ref="G36:H36"/>
    <mergeCell ref="G37:H37"/>
    <mergeCell ref="G38:H38"/>
    <mergeCell ref="G39:H39"/>
    <mergeCell ref="G27:H27"/>
    <mergeCell ref="G28:H28"/>
    <mergeCell ref="G29:H29"/>
    <mergeCell ref="G30:H30"/>
    <mergeCell ref="B5:D6"/>
    <mergeCell ref="D22:E22"/>
    <mergeCell ref="D23:E23"/>
    <mergeCell ref="D24:E24"/>
    <mergeCell ref="D25:E25"/>
    <mergeCell ref="D26:E26"/>
    <mergeCell ref="D27:E27"/>
    <mergeCell ref="D28:E28"/>
    <mergeCell ref="D29:E29"/>
    <mergeCell ref="B15:C15"/>
    <mergeCell ref="D47:E47"/>
    <mergeCell ref="D48:E48"/>
    <mergeCell ref="B13:D14"/>
    <mergeCell ref="D30:E30"/>
    <mergeCell ref="D35:E35"/>
    <mergeCell ref="D36:E36"/>
    <mergeCell ref="D37:E37"/>
    <mergeCell ref="D38:E38"/>
    <mergeCell ref="D39:E39"/>
    <mergeCell ref="D40:E40"/>
    <mergeCell ref="D41:E41"/>
    <mergeCell ref="D32:E32"/>
    <mergeCell ref="F5:L6"/>
    <mergeCell ref="B20:V21"/>
    <mergeCell ref="D31:E31"/>
    <mergeCell ref="D54:E54"/>
    <mergeCell ref="D53:E53"/>
    <mergeCell ref="D55:E55"/>
    <mergeCell ref="D56:E56"/>
    <mergeCell ref="D57:E57"/>
    <mergeCell ref="D58:E58"/>
    <mergeCell ref="D42:E42"/>
    <mergeCell ref="B16:C16"/>
    <mergeCell ref="B17:C17"/>
    <mergeCell ref="B18:C18"/>
    <mergeCell ref="D33:E33"/>
    <mergeCell ref="D49:E49"/>
    <mergeCell ref="D50:E50"/>
    <mergeCell ref="D51:E51"/>
    <mergeCell ref="D52:E52"/>
    <mergeCell ref="D34:E34"/>
    <mergeCell ref="B7:B10"/>
    <mergeCell ref="D43:E43"/>
    <mergeCell ref="D44:E44"/>
    <mergeCell ref="D45:E45"/>
    <mergeCell ref="D46:E46"/>
  </mergeCells>
  <conditionalFormatting sqref="G23:G58">
    <cfRule type="expression" dxfId="107" priority="39">
      <formula>IF(OR(F23=1300, F23=2310, F23=2300, F23=4000, F23=4100, F23=5000, F23=5100, F23=5201, F23=5202, F23=5200, F23=5301, F23=5302, F23=5303, F23=5304, F23=5300), TRUE)</formula>
    </cfRule>
  </conditionalFormatting>
  <conditionalFormatting sqref="D23:D58">
    <cfRule type="expression" dxfId="106" priority="29" stopIfTrue="1">
      <formula>IF(AND(ISBLANK(C23),NOT(ISBLANK(D23))),TRUE(),FALSE())</formula>
    </cfRule>
    <cfRule type="expression" dxfId="105" priority="543">
      <formula>IF(ISBLANK(C23),TRUE(),FALSE())</formula>
    </cfRule>
  </conditionalFormatting>
  <conditionalFormatting sqref="R9">
    <cfRule type="containsErrors" dxfId="104" priority="14">
      <formula>ISERROR(R9)</formula>
    </cfRule>
  </conditionalFormatting>
  <conditionalFormatting sqref="R10">
    <cfRule type="containsErrors" dxfId="103" priority="13">
      <formula>ISERROR(R10)</formula>
    </cfRule>
  </conditionalFormatting>
  <conditionalFormatting sqref="H2">
    <cfRule type="expression" dxfId="102" priority="1">
      <formula>WAS_STATUS="Empty"</formula>
    </cfRule>
    <cfRule type="expression" dxfId="101" priority="5">
      <formula>WAS_STATUS="Invalid"</formula>
    </cfRule>
    <cfRule type="expression" dxfId="100" priority="6">
      <formula>WAS_STATUS="VALID"</formula>
    </cfRule>
  </conditionalFormatting>
  <conditionalFormatting sqref="C23:C58">
    <cfRule type="expression" dxfId="99" priority="539">
      <formula>AND(C23="",OR(D23&lt;&gt;"",G23&lt;&gt;"",I23&lt;&gt;"",K23&lt;&gt;"",N23&lt;&gt;"",#REF!&lt;&gt;"",T23&lt;&gt;""))</formula>
    </cfRule>
  </conditionalFormatting>
  <conditionalFormatting sqref="Q23:Q58">
    <cfRule type="expression" dxfId="98" priority="3">
      <formula>IF(WAS_OVE_STATUS="All", TRUE)</formula>
    </cfRule>
  </conditionalFormatting>
  <conditionalFormatting sqref="C22:F22 I22:P22 T22:V22">
    <cfRule type="expression" dxfId="97" priority="2">
      <formula>OR(WAS_OVE_STATUS="ALL",WAS_OVE_STATUS="SOME")</formula>
    </cfRule>
  </conditionalFormatting>
  <dataValidations xWindow="1199" yWindow="486" count="31">
    <dataValidation type="date" operator="greaterThanOrEqual" allowBlank="1" showInputMessage="1" showErrorMessage="1" errorTitle="Invalid Date" error="Invalid date. Try inserting the date in the same format as your computer system's date format." promptTitle="Last port delivered date" prompt="Date of last waste delivery_x000a__x000a_Must be in dd/mm/yyyy format_x000a_" sqref="D17">
      <formula1>1</formula1>
    </dataValidation>
    <dataValidation type="list" allowBlank="1" showInputMessage="1" showErrorMessage="1" error="Choose from dropdown menu." promptTitle="Waste delivery status" prompt="The amount of waste to be delivered_x000a__x000a_Choose from dropdown menu" sqref="D18">
      <formula1>Waste_delivery_status</formula1>
    </dataValidation>
    <dataValidation errorStyle="warning" allowBlank="1" errorTitle="Warning" error="Invalid waste type code" promptTitle="Waste type code" prompt="Select waste category and waste type to find the correct waste type code" sqref="F23:F58"/>
    <dataValidation errorStyle="warning" allowBlank="1" errorTitle="Warning" error="Invalid category" promptTitle="Waste category" prompt="Select category from dropdown menu" sqref="B23:B58"/>
    <dataValidation type="textLength" operator="equal" allowBlank="1" showDropDown="1" showInputMessage="1" showErrorMessage="1" error="Invalid LOCODE, must be 5 characters." promptTitle="Last port delivered" prompt="Port where waste was last delivered_x000a__x000a_Use the LOCODE lookup to find the correct code_x000a__x000a_Must be valid LOCODE" sqref="D15">
      <formula1>5</formula1>
    </dataValidation>
    <dataValidation allowBlank="1" showDropDown="1" showInputMessage="1" errorTitle="Error" error="Invalid LOCODE. Use the 'LOCODE lookup' on the top right to find the correct LOCODE." promptTitle="Port name" sqref="R23:R58"/>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formula1>0</formula1>
      <formula2>35</formula2>
    </dataValidation>
    <dataValidation type="list" allowBlank="1" showInputMessage="1" showErrorMessage="1" promptTitle="Flag state" prompt="Select country from drop down list." sqref="D12">
      <formula1>REF_COUNTRIES</formula1>
    </dataValidation>
    <dataValidation type="custom" allowBlank="1" showInputMessage="1" errorTitle="Error" error="IMO must be a 7 digit number" promptTitle="IMO number" prompt="IMO number of the vessel_x000a__x000a_Valid 7 digit number in correct IMO format" sqref="D7">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formula1>100000000</formula1>
      <formula2>999999999</formula2>
    </dataValidation>
    <dataValidation type="textLength" allowBlank="1" showInputMessage="1" showErrorMessage="1" promptTitle="Call sign" prompt="Call sign of the vessel_x000a__x000a_Max 7 characters" sqref="D9">
      <formula1>0</formula1>
      <formula2>7</formula2>
    </dataValidation>
    <dataValidation type="textLength" operator="equal" showDropDown="1" showInputMessage="1" showErrorMessage="1" error="Invalid LOCODE, must be 5 characters." prompt="Search for LOCODE using the selector above or insert the 5 character code here." sqref="H17:K17 P17:T17">
      <formula1>5</formula1>
    </dataValidation>
    <dataValidation type="custom" operator="lessThanOrEqual" allowBlank="1" showInputMessage="1" showErrorMessage="1" errorTitle="Invalid Input" error="Number, max 3 decimal places." promptTitle="Waste to be delivered" prompt="The amount of waste which will be delivered at the port of call_x000a__x000a_Must be a number with a maximum of 3 decimal places" sqref="I23:I58">
      <formula1>IF(OR(ISBLANK(I23),AND(ISNUMBER(I23),LEN(I23)-(IF(ISNUMBER(SEARCH(".",I23)),SEARCH(".",I23),LEN(I23)))&lt;=3,I23&lt;=9999999999999)),TRUE(),FALSE())</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number with a maximum of 3 decimal places" sqref="K23:L58">
      <formula1>IF(OR(ISBLANK(K23),AND(ISNUMBER(K23),LEN(K23)-(IF(ISNUMBER(SEARCH(".",K23)),SEARCH(".",K23),LEN(K23)))&lt;=3,K23&lt;=9999999999999)),TRUE(),FALSE())</formula1>
    </dataValidation>
    <dataValidation type="custom" operator="lessThanOrEqual" allowBlank="1" showInputMessage="1" showErrorMessage="1" errorTitle="Invalid Input" error="Number, max 3 decimal places." promptTitle="Estimated waste creation" prompt="The estimated quantity of waste which will be created before arrival at the port of call_x000a__x000a_Must be a number with a maximum of 3 decimal places" sqref="T23:T58">
      <formula1>IF(OR(ISBLANK(T23),AND(ISNUMBER(T23),LEN(T23)-(IF(ISNUMBER(SEARCH(".",T23)),SEARCH(".",T23),LEN(T23)))&lt;=3,T23&lt;=9999999999999)),TRUE(),FALSE())</formula1>
    </dataValidation>
    <dataValidation type="list" showInputMessage="1" showErrorMessage="1" error="Select from dropdown" promptTitle="Waste creation unit" prompt="Unit of measurement for estimated waste creation_x000a__x000a_Choose from dropdown menu" sqref="U23:V58">
      <formula1>Units_description</formula1>
    </dataValidation>
    <dataValidation type="textLength" operator="equal" allowBlank="1" showDropDown="1" showInputMessage="1" showErrorMessage="1" error="Invalid LOCODE, must be 5 characters." promptTitle="Remaining waste delivery port" prompt="Port where vessels remaining waste will be delivered_x000a__x000a_Use the LOCODE lookup to find the correct code_x000a__x000a_Must be valid LOCODE" sqref="Q23:Q58">
      <formula1>5</formula1>
    </dataValidation>
    <dataValidation type="list" allowBlank="1" showInputMessage="1" showErrorMessage="1" promptTitle="Flag state" prompt="Flag state of the vessel_x000a__x000a_Choose from dropdown menu" sqref="D11">
      <formula1>REF_COUNTRIES</formula1>
    </dataValidation>
    <dataValidation type="textLength" operator="equal" allowBlank="1" showDropDown="1" showInputMessage="1" showErrorMessage="1" error="Invalid LOCODE, must be 5 characters." promptTitle="Port LOCODE" prompt="Name of the port where this form was completed_x000a__x000a_At least one location element (LOCODE, Latitude/Longitude, Location name) must be provided_x000a__x000a_Must be valid LOCODE" sqref="I7:L7">
      <formula1>5</formula1>
    </dataValidation>
    <dataValidation type="custom" allowBlank="1" showInputMessage="1" showErrorMessage="1" errorTitle="Invalid input" error="Must be between -54000000 and  54000000 or 54600000" promptTitle="Latitude" prompt="Latitude in 1/10000 min. (+/- 90 degrees; North = positive;_x000a_South = negative; 91 = not available)_x000a_91 (north) -&gt; 54600000_x000a_50°50’ (north) -&gt; 30500000_x000a__x000a_Must be between -54000000 and  54000000 or 54600000_x000a__x000a_" sqref="I9:L9">
      <formula1>OR(AND((I9&gt;-54000001),(I9&lt;54000001)), (I9=54600000))</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181° (east) -&gt; 108600000_x000a_0°0'1&quot; (east) -&gt; 167_x000a__x000a_Longitude must be between -108000000 and +108000000 or 108600000" sqref="I10:L10">
      <formula1>OR(AND((I10&gt;-108000001),(I10&lt;108000001)), (I10=108600000))</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I11:L11">
      <formula1>50</formula1>
    </dataValidation>
    <dataValidation type="date" allowBlank="1" showInputMessage="1" showErrorMessage="1" errorTitle="Invalid Date" error="Invalid date. Try inserting the date in the same format as your computer system's date format. Must be in dd/mm/yyyy hh:mm format." promptTitle="ETD from last port" prompt="The expected time of departure from the last port_x000a__x000a_Must be less than ETA to port of call_x000a__x000a_Must be in dd/mm/yyyy hh:mm 24 hour format " sqref="H18">
      <formula1>1</formula1>
      <formula2>72686</formula2>
    </dataValidation>
    <dataValidation type="date" allowBlank="1" showInputMessage="1" showErrorMessage="1" errorTitle="Invalid Date" error="Invalid date. Try inserting the date in the same format as your computer system's date format. Must be in dd/mm/yyyy hh:mm (24 hour) format." promptTitle="ETA to next port" prompt="The ETA at the next port after the port of call_x000a__x000a_Must be after the ETA to port of call_x000a__x000a_Must be in the dd/mm/yyyy hh:mm 24 hour format " sqref="P18:T18">
      <formula1>1</formula1>
      <formula2>72686</formula2>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23:H58">
      <formula1>0</formula1>
      <formula2>255</formula2>
    </dataValidation>
    <dataValidation type="list" showInputMessage="1" showErrorMessage="1" error="Select from dropdown" promptTitle="Waste to be delivered unit" prompt="Unit of measurement for waste to be delivered_x000a__x000a_Choose from dropdown menu" sqref="J23:J58">
      <formula1>Units_description</formula1>
    </dataValidation>
    <dataValidation type="list" showInputMessage="1" showErrorMessage="1" error="Select from dropdown" promptTitle="Waste capacity unit" prompt="Unit of measurement for waste capacity_x000a__x000a_Choose from dropdown menu" sqref="M23:M58">
      <formula1>Units_description</formula1>
    </dataValidation>
    <dataValidation type="custom" operator="lessThanOrEqual" allowBlank="1" showInputMessage="1" showErrorMessage="1" errorTitle="Invalid Input" error="Number, max 3 decimal places." promptTitle="Waste retained" prompt="The quantity of waste which will be retained aboard the vessel_x000a__x000a_Must be a number with a maximum of 3 decimal places" sqref="N23:O58">
      <formula1>IF(OR(ISBLANK(N23),AND(ISNUMBER(N23),LEN(N23)-(IF(ISNUMBER(SEARCH(".",N23)),SEARCH(".",N23),LEN(N23)))&lt;=3,N23&lt;=9999999999999)),TRUE(),FALSE())</formula1>
    </dataValidation>
    <dataValidation type="list" showInputMessage="1" showErrorMessage="1" error="Select from dropdown" promptTitle="Waste retained unit" prompt="Unit of measurement for waste retained_x000a__x000a_Choose from dropdown menu" sqref="P23:P58">
      <formula1>Units_description</formula1>
    </dataValidation>
    <dataValidation type="list" allowBlank="1" showInputMessage="1" showErrorMessage="1" error="Choose from dropdown menu." promptTitle="Waste category" prompt="The general category of the waste to be delivered _x000a__x000a_To update this field after a 'Waste type' has been selected delete the 'Waste type' field for this row_x000a__x000a_Choose from dropdown menu" sqref="C23:C58">
      <formula1>IF(D23="",Waste_Categories,INDIRECT("FakeRange"))</formula1>
    </dataValidation>
    <dataValidation type="list" allowBlank="1" showInputMessage="1" showErrorMessage="1" errorTitle="Error" error="This field can only be populated after the ‘Waste Category’ has been selected_x000a__x000a_Choose from dropdown menu." promptTitle="Waste type" prompt="The specific type of waste to be delivered_x000a__x000a_This field can only be populated after the ‘Waste Category’ has been selected_x000a__x000a_Choose from dropdown menu" sqref="D23:E58">
      <formula1>INDIRECT(C23)</formula1>
    </dataValidation>
  </dataValidations>
  <pageMargins left="0.23622047244094488" right="0.23622047244094488" top="0.39370078740157483" bottom="0.39370078740157483" header="0.31496062992125984" footer="0.31496062992125984"/>
  <pageSetup paperSize="9" scale="72"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4" id="{E26CA042-A787-49AB-B9D9-B01B1B6C528D}">
            <xm:f>Validator!D7&lt;&gt;TRUE</xm:f>
            <x14:dxf>
              <fill>
                <patternFill>
                  <bgColor rgb="FFFF0000"/>
                </patternFill>
              </fill>
            </x14:dxf>
          </x14:cfRule>
          <xm:sqref>B23:B58</xm:sqref>
        </x14:conditionalFormatting>
        <x14:conditionalFormatting xmlns:xm="http://schemas.microsoft.com/office/excel/2006/main">
          <x14:cfRule type="expression" priority="7" id="{8F63ADCB-544F-43C2-8CD5-F1060E825F8C}">
            <xm:f>Validator!$D$6&lt;&gt;TRUE</xm:f>
            <x14:dxf>
              <fill>
                <patternFill>
                  <bgColor rgb="FFFF0000"/>
                </patternFill>
              </fill>
            </x14:dxf>
          </x14:cfRule>
          <xm:sqref>Q22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00B0F0"/>
    <pageSetUpPr fitToPage="1"/>
  </sheetPr>
  <dimension ref="A1:AG265"/>
  <sheetViews>
    <sheetView zoomScale="85" zoomScaleNormal="85" workbookViewId="0">
      <pane ySplit="3" topLeftCell="A4" activePane="bottomLeft" state="frozen"/>
      <selection activeCell="A2" sqref="A2"/>
      <selection pane="bottomLeft" activeCell="D6" sqref="D6"/>
    </sheetView>
  </sheetViews>
  <sheetFormatPr defaultColWidth="9.109375" defaultRowHeight="13.2"/>
  <cols>
    <col min="1" max="1" width="2.44140625" style="53" customWidth="1"/>
    <col min="2" max="2" width="9.109375" style="165" customWidth="1"/>
    <col min="3" max="3" width="13.6640625" style="165" customWidth="1"/>
    <col min="4" max="4" width="11.109375" style="165" customWidth="1"/>
    <col min="5" max="5" width="9.33203125" style="165" customWidth="1"/>
    <col min="6" max="6" width="9.6640625" style="264" customWidth="1"/>
    <col min="7" max="7" width="11.6640625" style="255" customWidth="1"/>
    <col min="8" max="8" width="10.88671875" style="165" customWidth="1"/>
    <col min="9" max="9" width="11" style="165" customWidth="1"/>
    <col min="10" max="10" width="13.88671875" style="255" customWidth="1"/>
    <col min="11" max="11" width="16.44140625" style="165" customWidth="1"/>
    <col min="12" max="12" width="8" style="264" customWidth="1"/>
    <col min="13" max="13" width="9" style="165" customWidth="1"/>
    <col min="14" max="14" width="7.88671875" style="165" customWidth="1"/>
    <col min="15" max="15" width="7.5546875" style="165" customWidth="1"/>
    <col min="16" max="16" width="5.5546875" style="165" customWidth="1"/>
    <col min="17" max="17" width="8.88671875" style="165" customWidth="1"/>
    <col min="18" max="18" width="6.5546875" style="256" customWidth="1"/>
    <col min="19" max="19" width="7.88671875" style="53" customWidth="1"/>
    <col min="20" max="20" width="16.44140625" style="53" customWidth="1"/>
    <col min="21" max="21" width="10.44140625" style="53" customWidth="1"/>
    <col min="22" max="22" width="11.33203125" style="53" customWidth="1"/>
    <col min="23" max="23" width="11.44140625" style="53" customWidth="1"/>
    <col min="24" max="24" width="9.109375" style="53" customWidth="1"/>
    <col min="25" max="25" width="11.33203125" style="256" customWidth="1"/>
    <col min="26" max="26" width="9.33203125" style="53" customWidth="1"/>
    <col min="27" max="27" width="8.88671875" style="53" customWidth="1"/>
    <col min="28" max="28" width="10.44140625" style="53" customWidth="1"/>
    <col min="29" max="30" width="10.5546875" style="53" customWidth="1"/>
    <col min="31" max="31" width="7.109375" style="18" customWidth="1"/>
    <col min="32" max="32" width="6.33203125" style="18" customWidth="1"/>
    <col min="33" max="33" width="11" style="18" customWidth="1"/>
    <col min="34" max="16384" width="9.109375" style="53"/>
  </cols>
  <sheetData>
    <row r="1" spans="1:33" s="157" customFormat="1" ht="4.5" customHeight="1">
      <c r="B1" s="394"/>
      <c r="C1" s="394"/>
      <c r="D1" s="394"/>
      <c r="E1" s="394"/>
      <c r="F1" s="394"/>
      <c r="G1" s="394"/>
      <c r="H1" s="394"/>
      <c r="I1" s="394"/>
      <c r="J1" s="394"/>
      <c r="K1" s="394"/>
      <c r="L1" s="394"/>
      <c r="M1" s="394"/>
      <c r="N1" s="394"/>
      <c r="O1" s="394"/>
      <c r="P1" s="394"/>
      <c r="Q1" s="394"/>
    </row>
    <row r="2" spans="1:33" s="157" customFormat="1" ht="21">
      <c r="A2" s="154"/>
      <c r="B2" s="154" t="s">
        <v>1578</v>
      </c>
      <c r="C2" s="154"/>
      <c r="D2" s="154"/>
      <c r="E2" s="154"/>
      <c r="F2" s="154"/>
      <c r="G2" s="154"/>
      <c r="J2" s="396" t="s">
        <v>1965</v>
      </c>
      <c r="K2" s="397" t="str">
        <f>IHZ_STATUS</f>
        <v>Empty</v>
      </c>
      <c r="L2" s="401" t="str">
        <f>IFERROR(IHZ_VALID_RES,"")</f>
        <v>‘Hazmat on board‘ is required</v>
      </c>
      <c r="M2" s="398"/>
      <c r="N2" s="398"/>
      <c r="O2" s="398"/>
      <c r="P2" s="398"/>
      <c r="Q2" s="398"/>
      <c r="R2" s="398"/>
      <c r="S2" s="398"/>
      <c r="T2" s="398"/>
      <c r="U2" s="398"/>
      <c r="V2" s="398"/>
      <c r="W2" s="398"/>
      <c r="X2" s="398"/>
      <c r="Y2" s="398"/>
      <c r="Z2" s="398"/>
      <c r="AA2" s="398"/>
      <c r="AB2" s="398"/>
      <c r="AC2" s="398"/>
      <c r="AD2" s="398"/>
      <c r="AE2" s="398"/>
      <c r="AF2" s="398"/>
      <c r="AG2" s="398"/>
    </row>
    <row r="3" spans="1:33" s="157" customFormat="1" ht="4.5" customHeight="1">
      <c r="N3" s="394"/>
      <c r="O3" s="394"/>
      <c r="P3" s="394"/>
      <c r="Q3" s="394"/>
      <c r="R3" s="394"/>
      <c r="S3" s="394"/>
      <c r="T3" s="394"/>
      <c r="U3" s="394"/>
    </row>
    <row r="4" spans="1:33" s="379" customFormat="1" ht="12.75" customHeight="1" thickBot="1">
      <c r="N4" s="264"/>
      <c r="O4" s="264"/>
      <c r="P4" s="264"/>
      <c r="Q4" s="264"/>
      <c r="R4" s="264"/>
      <c r="S4" s="264"/>
      <c r="T4" s="264"/>
      <c r="U4" s="264"/>
    </row>
    <row r="5" spans="1:33" ht="21" customHeight="1" thickTop="1">
      <c r="B5" s="635" t="s">
        <v>2376</v>
      </c>
      <c r="C5" s="636"/>
      <c r="D5" s="637"/>
      <c r="E5" s="605" t="s">
        <v>2084</v>
      </c>
      <c r="F5" s="606"/>
      <c r="G5" s="606"/>
      <c r="H5" s="606"/>
      <c r="I5" s="606"/>
      <c r="J5" s="606"/>
      <c r="K5" s="606"/>
      <c r="L5" s="606"/>
      <c r="M5" s="606"/>
      <c r="N5" s="606"/>
      <c r="O5" s="606"/>
      <c r="P5" s="606"/>
      <c r="Q5" s="606"/>
      <c r="R5" s="606"/>
      <c r="S5" s="607"/>
      <c r="U5" s="696"/>
      <c r="V5" s="696"/>
      <c r="W5" s="696"/>
      <c r="X5" s="696"/>
      <c r="Y5" s="696"/>
      <c r="Z5" s="696"/>
      <c r="AA5" s="696"/>
      <c r="AB5" s="195"/>
      <c r="AC5" s="777" t="s">
        <v>2354</v>
      </c>
      <c r="AD5" s="777"/>
      <c r="AE5" s="777"/>
      <c r="AF5" s="777"/>
      <c r="AG5" s="308"/>
    </row>
    <row r="6" spans="1:33" ht="12.75" customHeight="1">
      <c r="B6" s="763" t="s">
        <v>2377</v>
      </c>
      <c r="C6" s="764"/>
      <c r="D6" s="495"/>
      <c r="E6" s="755" t="s">
        <v>1968</v>
      </c>
      <c r="F6" s="756"/>
      <c r="G6" s="756"/>
      <c r="H6" s="756"/>
      <c r="I6" s="756"/>
      <c r="J6" s="756"/>
      <c r="K6" s="756"/>
      <c r="L6" s="756" t="s">
        <v>1969</v>
      </c>
      <c r="M6" s="756"/>
      <c r="N6" s="756"/>
      <c r="O6" s="756"/>
      <c r="P6" s="756"/>
      <c r="Q6" s="756"/>
      <c r="R6" s="756"/>
      <c r="S6" s="776"/>
      <c r="U6" s="701"/>
      <c r="V6" s="701"/>
      <c r="W6" s="581"/>
      <c r="X6" s="581"/>
      <c r="Y6" s="581"/>
      <c r="Z6" s="581"/>
      <c r="AA6" s="581"/>
      <c r="AB6" s="581"/>
      <c r="AC6" s="777"/>
      <c r="AD6" s="777"/>
      <c r="AE6" s="777"/>
      <c r="AF6" s="777"/>
      <c r="AG6" s="308"/>
    </row>
    <row r="7" spans="1:33" ht="12.75" customHeight="1" thickBot="1">
      <c r="B7" s="765" t="s">
        <v>73</v>
      </c>
      <c r="C7" s="766"/>
      <c r="D7" s="574"/>
      <c r="E7" s="770" t="s">
        <v>65</v>
      </c>
      <c r="F7" s="771"/>
      <c r="G7" s="757"/>
      <c r="H7" s="758"/>
      <c r="I7" s="496" t="s">
        <v>62</v>
      </c>
      <c r="J7" s="761"/>
      <c r="K7" s="761"/>
      <c r="L7" s="751" t="s">
        <v>1973</v>
      </c>
      <c r="M7" s="752"/>
      <c r="N7" s="747"/>
      <c r="O7" s="747"/>
      <c r="P7" s="747"/>
      <c r="Q7" s="747"/>
      <c r="R7" s="747"/>
      <c r="S7" s="748"/>
      <c r="T7" s="315"/>
      <c r="U7" s="701"/>
      <c r="V7" s="701"/>
      <c r="W7" s="581"/>
      <c r="X7" s="581"/>
      <c r="Y7" s="581"/>
      <c r="Z7" s="581"/>
      <c r="AA7" s="581"/>
      <c r="AB7" s="581"/>
      <c r="AC7" s="777"/>
      <c r="AD7" s="777"/>
      <c r="AE7" s="777"/>
      <c r="AF7" s="777"/>
      <c r="AG7" s="308"/>
    </row>
    <row r="8" spans="1:33" ht="12.75" customHeight="1" thickTop="1" thickBot="1">
      <c r="E8" s="772" t="s">
        <v>66</v>
      </c>
      <c r="F8" s="773"/>
      <c r="G8" s="759"/>
      <c r="H8" s="760"/>
      <c r="I8" s="497" t="s">
        <v>63</v>
      </c>
      <c r="J8" s="762"/>
      <c r="K8" s="762"/>
      <c r="L8" s="753" t="s">
        <v>1974</v>
      </c>
      <c r="M8" s="754"/>
      <c r="N8" s="749"/>
      <c r="O8" s="749"/>
      <c r="P8" s="749"/>
      <c r="Q8" s="749"/>
      <c r="R8" s="749"/>
      <c r="S8" s="750"/>
      <c r="U8" s="697"/>
      <c r="V8" s="697"/>
      <c r="W8" s="700"/>
      <c r="X8" s="700"/>
      <c r="Y8" s="700"/>
      <c r="Z8" s="700"/>
      <c r="AA8" s="700"/>
      <c r="AB8" s="582"/>
      <c r="AC8" s="777"/>
      <c r="AD8" s="777"/>
      <c r="AE8" s="777"/>
      <c r="AF8" s="777"/>
      <c r="AG8" s="308"/>
    </row>
    <row r="9" spans="1:33" ht="12.75" customHeight="1" thickTop="1" thickBot="1">
      <c r="E9" s="772" t="s">
        <v>1573</v>
      </c>
      <c r="F9" s="773"/>
      <c r="G9" s="767"/>
      <c r="H9" s="768"/>
      <c r="I9" s="498" t="s">
        <v>13</v>
      </c>
      <c r="J9" s="745"/>
      <c r="K9" s="746"/>
      <c r="L9" s="343"/>
      <c r="M9" s="48"/>
      <c r="N9" s="48"/>
      <c r="O9" s="48"/>
      <c r="P9" s="48"/>
      <c r="Q9" s="48"/>
      <c r="R9" s="19"/>
      <c r="S9" s="19"/>
      <c r="U9" s="698"/>
      <c r="V9" s="698"/>
      <c r="W9" s="700"/>
      <c r="X9" s="700"/>
      <c r="Y9" s="700"/>
      <c r="Z9" s="700"/>
      <c r="AA9" s="700"/>
      <c r="AB9" s="270"/>
      <c r="AC9" s="777"/>
      <c r="AD9" s="777"/>
      <c r="AE9" s="777"/>
      <c r="AF9" s="777"/>
      <c r="AG9" s="308"/>
    </row>
    <row r="10" spans="1:33" ht="12.75" customHeight="1" thickTop="1" thickBot="1">
      <c r="E10" s="774" t="s">
        <v>1575</v>
      </c>
      <c r="F10" s="775"/>
      <c r="G10" s="728"/>
      <c r="H10" s="769"/>
      <c r="I10" s="20"/>
      <c r="J10" s="344"/>
      <c r="K10" s="344"/>
      <c r="L10" s="343"/>
      <c r="M10" s="48"/>
      <c r="N10" s="48"/>
      <c r="O10" s="48"/>
      <c r="P10" s="48"/>
      <c r="Q10" s="48"/>
      <c r="R10" s="19"/>
      <c r="S10" s="19"/>
      <c r="U10" s="310"/>
      <c r="V10" s="48"/>
      <c r="W10" s="48"/>
      <c r="X10" s="19"/>
      <c r="Y10" s="19"/>
      <c r="Z10" s="19"/>
      <c r="AA10" s="19"/>
      <c r="AB10" s="19"/>
      <c r="AD10" s="308"/>
      <c r="AE10" s="308"/>
      <c r="AF10" s="308"/>
      <c r="AG10" s="308"/>
    </row>
    <row r="11" spans="1:33" ht="6.75" customHeight="1" thickTop="1" thickBot="1">
      <c r="B11" s="53"/>
      <c r="C11" s="53"/>
      <c r="D11" s="53"/>
      <c r="E11" s="53"/>
      <c r="F11" s="265"/>
      <c r="G11" s="276"/>
      <c r="H11" s="276"/>
      <c r="I11" s="276"/>
      <c r="J11" s="52"/>
      <c r="K11" s="52"/>
      <c r="L11" s="52"/>
      <c r="M11" s="52"/>
      <c r="N11" s="52"/>
      <c r="O11" s="52"/>
      <c r="P11" s="260"/>
      <c r="Q11" s="260"/>
      <c r="R11" s="260"/>
      <c r="S11" s="260"/>
      <c r="T11" s="260"/>
      <c r="U11" s="256"/>
      <c r="V11" s="256"/>
      <c r="W11" s="256"/>
      <c r="X11" s="256"/>
      <c r="Z11" s="256"/>
      <c r="AA11" s="256"/>
      <c r="AB11" s="256"/>
    </row>
    <row r="12" spans="1:33" ht="21" customHeight="1" thickTop="1">
      <c r="B12" s="281"/>
      <c r="C12" s="605" t="s">
        <v>1869</v>
      </c>
      <c r="D12" s="606"/>
      <c r="E12" s="606"/>
      <c r="F12" s="606"/>
      <c r="G12" s="606"/>
      <c r="H12" s="606"/>
      <c r="I12" s="605" t="s">
        <v>1875</v>
      </c>
      <c r="J12" s="606"/>
      <c r="K12" s="606"/>
      <c r="L12" s="606"/>
      <c r="M12" s="606"/>
      <c r="N12" s="606"/>
      <c r="O12" s="606"/>
      <c r="P12" s="606"/>
      <c r="Q12" s="606"/>
      <c r="R12" s="606"/>
      <c r="S12" s="606"/>
      <c r="T12" s="606"/>
      <c r="U12" s="606"/>
      <c r="V12" s="606"/>
      <c r="W12" s="606"/>
      <c r="X12" s="606"/>
      <c r="Y12" s="607"/>
      <c r="Z12" s="605" t="s">
        <v>1876</v>
      </c>
      <c r="AA12" s="606"/>
      <c r="AB12" s="606"/>
      <c r="AC12" s="606"/>
      <c r="AD12" s="606"/>
      <c r="AE12" s="606"/>
      <c r="AF12" s="607"/>
      <c r="AG12" s="272"/>
    </row>
    <row r="13" spans="1:33" ht="45" customHeight="1">
      <c r="B13" s="287" t="s">
        <v>1970</v>
      </c>
      <c r="C13" s="288" t="s">
        <v>2350</v>
      </c>
      <c r="D13" s="363" t="s">
        <v>625</v>
      </c>
      <c r="E13" s="289" t="s">
        <v>1577</v>
      </c>
      <c r="F13" s="363" t="s">
        <v>1871</v>
      </c>
      <c r="G13" s="290" t="s">
        <v>1576</v>
      </c>
      <c r="H13" s="363" t="s">
        <v>1870</v>
      </c>
      <c r="I13" s="291" t="s">
        <v>2351</v>
      </c>
      <c r="J13" s="363" t="s">
        <v>2352</v>
      </c>
      <c r="K13" s="289" t="s">
        <v>2353</v>
      </c>
      <c r="L13" s="289" t="s">
        <v>112</v>
      </c>
      <c r="M13" s="289" t="s">
        <v>624</v>
      </c>
      <c r="N13" s="371" t="s">
        <v>2364</v>
      </c>
      <c r="O13" s="290" t="s">
        <v>1873</v>
      </c>
      <c r="P13" s="363" t="s">
        <v>1976</v>
      </c>
      <c r="Q13" s="363" t="s">
        <v>2</v>
      </c>
      <c r="R13" s="290" t="s">
        <v>68</v>
      </c>
      <c r="S13" s="290" t="s">
        <v>69</v>
      </c>
      <c r="T13" s="289" t="s">
        <v>1</v>
      </c>
      <c r="U13" s="290" t="s">
        <v>391</v>
      </c>
      <c r="V13" s="290" t="s">
        <v>70</v>
      </c>
      <c r="W13" s="290" t="s">
        <v>71</v>
      </c>
      <c r="X13" s="290" t="s">
        <v>72</v>
      </c>
      <c r="Y13" s="292" t="s">
        <v>1387</v>
      </c>
      <c r="Z13" s="291" t="s">
        <v>2357</v>
      </c>
      <c r="AA13" s="290" t="s">
        <v>1874</v>
      </c>
      <c r="AB13" s="290" t="s">
        <v>2355</v>
      </c>
      <c r="AC13" s="290" t="s">
        <v>641</v>
      </c>
      <c r="AD13" s="293" t="s">
        <v>2356</v>
      </c>
      <c r="AE13" s="290" t="s">
        <v>1872</v>
      </c>
      <c r="AF13" s="292" t="s">
        <v>1976</v>
      </c>
      <c r="AG13" s="19"/>
    </row>
    <row r="14" spans="1:33" s="434" customFormat="1">
      <c r="B14" s="492" t="str">
        <f>IF(AND(Validator!G8=TRUE,Validator!G258=TRUE,Validator!G508=TRUE,Validator!G758=TRUE,Validator!G1008=TRUE,Validator!G1258=TRUE),"Valid","Invalid")</f>
        <v>Valid</v>
      </c>
      <c r="C14" s="144"/>
      <c r="D14" s="478"/>
      <c r="E14" s="479"/>
      <c r="F14" s="580"/>
      <c r="G14" s="480"/>
      <c r="H14" s="580"/>
      <c r="I14" s="483"/>
      <c r="J14" s="146"/>
      <c r="K14" s="297"/>
      <c r="L14" s="541"/>
      <c r="M14" s="469"/>
      <c r="N14" s="481"/>
      <c r="O14" s="348" t="s">
        <v>280</v>
      </c>
      <c r="P14" s="349" t="s">
        <v>79</v>
      </c>
      <c r="Q14" s="476"/>
      <c r="R14" s="467"/>
      <c r="S14" s="467"/>
      <c r="T14" s="476"/>
      <c r="U14" s="490" t="str">
        <f>IF(ISERROR(VLOOKUP($T14, 'Reference data'!$J$2:$K$139, 2, FALSE)),"-",VLOOKUP($T14, 'Reference data'!$J$2:$K$139, 2, FALSE))</f>
        <v>-</v>
      </c>
      <c r="V14" s="147"/>
      <c r="W14" s="147"/>
      <c r="X14" s="471"/>
      <c r="Y14" s="472"/>
      <c r="Z14" s="144"/>
      <c r="AA14" s="508"/>
      <c r="AB14" s="163"/>
      <c r="AC14" s="148"/>
      <c r="AD14" s="480"/>
      <c r="AE14" s="348" t="s">
        <v>280</v>
      </c>
      <c r="AF14" s="354" t="s">
        <v>79</v>
      </c>
      <c r="AG14" s="482"/>
    </row>
    <row r="15" spans="1:33" s="434" customFormat="1">
      <c r="B15" s="493" t="str">
        <f>IF(AND(Validator!G9=TRUE,Validator!G259=TRUE,Validator!G509=TRUE,Validator!G759=TRUE,Validator!G1009=TRUE,Validator!G1259=TRUE),"Valid","Invalid")</f>
        <v>Valid</v>
      </c>
      <c r="C15" s="144"/>
      <c r="D15" s="478"/>
      <c r="E15" s="479"/>
      <c r="F15" s="580"/>
      <c r="G15" s="480"/>
      <c r="H15" s="580"/>
      <c r="I15" s="483"/>
      <c r="J15" s="146"/>
      <c r="K15" s="297"/>
      <c r="L15" s="541"/>
      <c r="M15" s="469"/>
      <c r="N15" s="262"/>
      <c r="O15" s="348" t="s">
        <v>280</v>
      </c>
      <c r="P15" s="349" t="s">
        <v>79</v>
      </c>
      <c r="Q15" s="476"/>
      <c r="R15" s="467"/>
      <c r="S15" s="467"/>
      <c r="T15" s="476"/>
      <c r="U15" s="490" t="str">
        <f>IF(ISERROR(VLOOKUP($T15, 'Reference data'!$J$2:$K$139, 2, FALSE)),"-",VLOOKUP($T15, 'Reference data'!$J$2:$K$139, 2, FALSE))</f>
        <v>-</v>
      </c>
      <c r="V15" s="147"/>
      <c r="W15" s="147"/>
      <c r="X15" s="471"/>
      <c r="Y15" s="472"/>
      <c r="Z15" s="144"/>
      <c r="AA15" s="508"/>
      <c r="AB15" s="163"/>
      <c r="AC15" s="148"/>
      <c r="AD15" s="480"/>
      <c r="AE15" s="348" t="s">
        <v>280</v>
      </c>
      <c r="AF15" s="354" t="s">
        <v>79</v>
      </c>
      <c r="AG15" s="484"/>
    </row>
    <row r="16" spans="1:33" s="434" customFormat="1">
      <c r="B16" s="493" t="str">
        <f>IF(AND(Validator!G10=TRUE,Validator!G260=TRUE,Validator!G510=TRUE,Validator!G760=TRUE,Validator!G1010=TRUE,Validator!G1260=TRUE),"Valid","Invalid")</f>
        <v>Valid</v>
      </c>
      <c r="C16" s="144"/>
      <c r="D16" s="478"/>
      <c r="E16" s="479"/>
      <c r="F16" s="580"/>
      <c r="G16" s="480"/>
      <c r="H16" s="580"/>
      <c r="I16" s="483"/>
      <c r="J16" s="146"/>
      <c r="K16" s="297"/>
      <c r="L16" s="541"/>
      <c r="M16" s="469"/>
      <c r="N16" s="262"/>
      <c r="O16" s="348" t="s">
        <v>280</v>
      </c>
      <c r="P16" s="349" t="s">
        <v>79</v>
      </c>
      <c r="Q16" s="476"/>
      <c r="R16" s="467"/>
      <c r="S16" s="467"/>
      <c r="T16" s="476"/>
      <c r="U16" s="490" t="str">
        <f>IF(ISERROR(VLOOKUP($T16, 'Reference data'!$J$2:$K$139, 2, FALSE)),"-",VLOOKUP($T16, 'Reference data'!$J$2:$K$139, 2, FALSE))</f>
        <v>-</v>
      </c>
      <c r="V16" s="147"/>
      <c r="W16" s="147"/>
      <c r="X16" s="471"/>
      <c r="Y16" s="472"/>
      <c r="Z16" s="144"/>
      <c r="AA16" s="508"/>
      <c r="AB16" s="163"/>
      <c r="AC16" s="148"/>
      <c r="AD16" s="480"/>
      <c r="AE16" s="348" t="s">
        <v>280</v>
      </c>
      <c r="AF16" s="354" t="s">
        <v>79</v>
      </c>
      <c r="AG16" s="484"/>
    </row>
    <row r="17" spans="2:33" s="434" customFormat="1">
      <c r="B17" s="493" t="str">
        <f>IF(AND(Validator!G11=TRUE,Validator!G261=TRUE,Validator!G511=TRUE,Validator!G761=TRUE,Validator!G1011=TRUE,Validator!G1261=TRUE),"Valid","Invalid")</f>
        <v>Valid</v>
      </c>
      <c r="C17" s="144"/>
      <c r="D17" s="478"/>
      <c r="E17" s="479"/>
      <c r="F17" s="580"/>
      <c r="G17" s="480"/>
      <c r="H17" s="580"/>
      <c r="I17" s="483"/>
      <c r="J17" s="146"/>
      <c r="K17" s="297"/>
      <c r="L17" s="541"/>
      <c r="M17" s="469"/>
      <c r="N17" s="262"/>
      <c r="O17" s="348" t="s">
        <v>280</v>
      </c>
      <c r="P17" s="349" t="s">
        <v>79</v>
      </c>
      <c r="Q17" s="476"/>
      <c r="R17" s="467"/>
      <c r="S17" s="467"/>
      <c r="T17" s="476"/>
      <c r="U17" s="490" t="str">
        <f>IF(ISERROR(VLOOKUP($T17, 'Reference data'!$J$2:$K$139, 2, FALSE)),"-",VLOOKUP($T17, 'Reference data'!$J$2:$K$139, 2, FALSE))</f>
        <v>-</v>
      </c>
      <c r="V17" s="147"/>
      <c r="W17" s="147"/>
      <c r="X17" s="471"/>
      <c r="Y17" s="472"/>
      <c r="Z17" s="144"/>
      <c r="AA17" s="508"/>
      <c r="AB17" s="163"/>
      <c r="AC17" s="148"/>
      <c r="AD17" s="480"/>
      <c r="AE17" s="348" t="s">
        <v>280</v>
      </c>
      <c r="AF17" s="354" t="s">
        <v>79</v>
      </c>
      <c r="AG17" s="484"/>
    </row>
    <row r="18" spans="2:33" s="434" customFormat="1">
      <c r="B18" s="493" t="str">
        <f>IF(AND(Validator!G12=TRUE,Validator!G262=TRUE,Validator!G512=TRUE,Validator!G762=TRUE,Validator!G1012=TRUE,Validator!G1262=TRUE),"Valid","Invalid")</f>
        <v>Valid</v>
      </c>
      <c r="C18" s="144"/>
      <c r="D18" s="478"/>
      <c r="E18" s="479"/>
      <c r="F18" s="580"/>
      <c r="G18" s="480"/>
      <c r="H18" s="580"/>
      <c r="I18" s="483"/>
      <c r="J18" s="146"/>
      <c r="K18" s="297"/>
      <c r="L18" s="541"/>
      <c r="M18" s="469"/>
      <c r="N18" s="262"/>
      <c r="O18" s="348" t="s">
        <v>280</v>
      </c>
      <c r="P18" s="349" t="s">
        <v>79</v>
      </c>
      <c r="Q18" s="476"/>
      <c r="R18" s="467"/>
      <c r="S18" s="467"/>
      <c r="T18" s="476"/>
      <c r="U18" s="490" t="str">
        <f>IF(ISERROR(VLOOKUP($T18, 'Reference data'!$J$2:$K$139, 2, FALSE)),"-",VLOOKUP($T18, 'Reference data'!$J$2:$K$139, 2, FALSE))</f>
        <v>-</v>
      </c>
      <c r="V18" s="147"/>
      <c r="W18" s="147"/>
      <c r="X18" s="471"/>
      <c r="Y18" s="472"/>
      <c r="Z18" s="144"/>
      <c r="AA18" s="508"/>
      <c r="AB18" s="163"/>
      <c r="AC18" s="148"/>
      <c r="AD18" s="480"/>
      <c r="AE18" s="348" t="s">
        <v>280</v>
      </c>
      <c r="AF18" s="354" t="s">
        <v>79</v>
      </c>
      <c r="AG18" s="484"/>
    </row>
    <row r="19" spans="2:33" s="434" customFormat="1">
      <c r="B19" s="493" t="str">
        <f>IF(AND(Validator!G13=TRUE,Validator!G263=TRUE,Validator!G513=TRUE,Validator!G763=TRUE,Validator!G1013=TRUE,Validator!G1263=TRUE),"Valid","Invalid")</f>
        <v>Valid</v>
      </c>
      <c r="C19" s="144"/>
      <c r="D19" s="478"/>
      <c r="E19" s="479"/>
      <c r="F19" s="580"/>
      <c r="G19" s="480"/>
      <c r="H19" s="580"/>
      <c r="I19" s="483"/>
      <c r="J19" s="146"/>
      <c r="K19" s="297"/>
      <c r="L19" s="541"/>
      <c r="M19" s="469"/>
      <c r="N19" s="262"/>
      <c r="O19" s="348" t="s">
        <v>280</v>
      </c>
      <c r="P19" s="349" t="s">
        <v>79</v>
      </c>
      <c r="Q19" s="476"/>
      <c r="R19" s="467"/>
      <c r="S19" s="467"/>
      <c r="T19" s="476"/>
      <c r="U19" s="490" t="str">
        <f>IF(ISERROR(VLOOKUP($T19, 'Reference data'!$J$2:$K$139, 2, FALSE)),"-",VLOOKUP($T19, 'Reference data'!$J$2:$K$139, 2, FALSE))</f>
        <v>-</v>
      </c>
      <c r="V19" s="147"/>
      <c r="W19" s="147"/>
      <c r="X19" s="471"/>
      <c r="Y19" s="472"/>
      <c r="Z19" s="144"/>
      <c r="AA19" s="508"/>
      <c r="AB19" s="163"/>
      <c r="AC19" s="148"/>
      <c r="AD19" s="480"/>
      <c r="AE19" s="348" t="s">
        <v>280</v>
      </c>
      <c r="AF19" s="354" t="s">
        <v>79</v>
      </c>
      <c r="AG19" s="484"/>
    </row>
    <row r="20" spans="2:33" s="434" customFormat="1">
      <c r="B20" s="493" t="str">
        <f>IF(AND(Validator!G14=TRUE,Validator!G264=TRUE,Validator!G514=TRUE,Validator!G764=TRUE,Validator!G1014=TRUE,Validator!G1264=TRUE),"Valid","Invalid")</f>
        <v>Valid</v>
      </c>
      <c r="C20" s="144"/>
      <c r="D20" s="478"/>
      <c r="E20" s="479"/>
      <c r="F20" s="580"/>
      <c r="G20" s="480"/>
      <c r="H20" s="580"/>
      <c r="I20" s="483"/>
      <c r="J20" s="146"/>
      <c r="K20" s="146"/>
      <c r="L20" s="541"/>
      <c r="M20" s="469"/>
      <c r="N20" s="262"/>
      <c r="O20" s="348" t="s">
        <v>280</v>
      </c>
      <c r="P20" s="349" t="s">
        <v>79</v>
      </c>
      <c r="Q20" s="476"/>
      <c r="R20" s="467"/>
      <c r="S20" s="467"/>
      <c r="T20" s="476"/>
      <c r="U20" s="490" t="str">
        <f>IF(ISERROR(VLOOKUP($T20, 'Reference data'!$J$2:$K$139, 2, FALSE)),"-",VLOOKUP($T20, 'Reference data'!$J$2:$K$139, 2, FALSE))</f>
        <v>-</v>
      </c>
      <c r="V20" s="147"/>
      <c r="W20" s="147"/>
      <c r="X20" s="471"/>
      <c r="Y20" s="472"/>
      <c r="Z20" s="144"/>
      <c r="AA20" s="508"/>
      <c r="AB20" s="163"/>
      <c r="AC20" s="148"/>
      <c r="AD20" s="480"/>
      <c r="AE20" s="348" t="s">
        <v>280</v>
      </c>
      <c r="AF20" s="354" t="s">
        <v>79</v>
      </c>
      <c r="AG20" s="484"/>
    </row>
    <row r="21" spans="2:33" s="434" customFormat="1">
      <c r="B21" s="493" t="str">
        <f>IF(AND(Validator!G15=TRUE,Validator!G265=TRUE,Validator!G515=TRUE,Validator!G765=TRUE,Validator!G1015=TRUE,Validator!G1265=TRUE),"Valid","Invalid")</f>
        <v>Valid</v>
      </c>
      <c r="C21" s="144"/>
      <c r="D21" s="478"/>
      <c r="E21" s="479"/>
      <c r="F21" s="580"/>
      <c r="G21" s="480"/>
      <c r="H21" s="580"/>
      <c r="I21" s="483"/>
      <c r="J21" s="146"/>
      <c r="K21" s="297"/>
      <c r="L21" s="541"/>
      <c r="M21" s="469"/>
      <c r="N21" s="262"/>
      <c r="O21" s="348" t="s">
        <v>280</v>
      </c>
      <c r="P21" s="349" t="s">
        <v>79</v>
      </c>
      <c r="Q21" s="476"/>
      <c r="R21" s="467"/>
      <c r="S21" s="467"/>
      <c r="T21" s="476"/>
      <c r="U21" s="490" t="str">
        <f>IF(ISERROR(VLOOKUP($T21, 'Reference data'!$J$2:$K$139, 2, FALSE)),"-",VLOOKUP($T21, 'Reference data'!$J$2:$K$139, 2, FALSE))</f>
        <v>-</v>
      </c>
      <c r="V21" s="147"/>
      <c r="W21" s="147"/>
      <c r="X21" s="471"/>
      <c r="Y21" s="472"/>
      <c r="Z21" s="144"/>
      <c r="AA21" s="508"/>
      <c r="AB21" s="163"/>
      <c r="AC21" s="148"/>
      <c r="AD21" s="480"/>
      <c r="AE21" s="348" t="s">
        <v>280</v>
      </c>
      <c r="AF21" s="354" t="s">
        <v>79</v>
      </c>
      <c r="AG21" s="484"/>
    </row>
    <row r="22" spans="2:33" s="434" customFormat="1">
      <c r="B22" s="493" t="str">
        <f>IF(AND(Validator!G16=TRUE,Validator!G266=TRUE,Validator!G516=TRUE,Validator!G766=TRUE,Validator!G1016=TRUE,Validator!G1266=TRUE),"Valid","Invalid")</f>
        <v>Valid</v>
      </c>
      <c r="C22" s="144"/>
      <c r="D22" s="478"/>
      <c r="E22" s="479"/>
      <c r="F22" s="580"/>
      <c r="G22" s="480"/>
      <c r="H22" s="580"/>
      <c r="I22" s="483"/>
      <c r="J22" s="146"/>
      <c r="K22" s="297"/>
      <c r="L22" s="541"/>
      <c r="M22" s="469"/>
      <c r="N22" s="262"/>
      <c r="O22" s="348" t="s">
        <v>280</v>
      </c>
      <c r="P22" s="349" t="s">
        <v>79</v>
      </c>
      <c r="Q22" s="476"/>
      <c r="R22" s="467"/>
      <c r="S22" s="467"/>
      <c r="T22" s="476"/>
      <c r="U22" s="490" t="str">
        <f>IF(ISERROR(VLOOKUP($T22, 'Reference data'!$J$2:$K$139, 2, FALSE)),"-",VLOOKUP($T22, 'Reference data'!$J$2:$K$139, 2, FALSE))</f>
        <v>-</v>
      </c>
      <c r="V22" s="147"/>
      <c r="W22" s="147"/>
      <c r="X22" s="471"/>
      <c r="Y22" s="472"/>
      <c r="Z22" s="144"/>
      <c r="AA22" s="508"/>
      <c r="AB22" s="163"/>
      <c r="AC22" s="148"/>
      <c r="AD22" s="480"/>
      <c r="AE22" s="348" t="s">
        <v>280</v>
      </c>
      <c r="AF22" s="354" t="s">
        <v>79</v>
      </c>
      <c r="AG22" s="484"/>
    </row>
    <row r="23" spans="2:33" s="434" customFormat="1">
      <c r="B23" s="493" t="str">
        <f>IF(AND(Validator!G17=TRUE,Validator!G267=TRUE,Validator!G517=TRUE,Validator!G767=TRUE,Validator!G1017=TRUE,Validator!G1267=TRUE),"Valid","Invalid")</f>
        <v>Valid</v>
      </c>
      <c r="C23" s="144"/>
      <c r="D23" s="478"/>
      <c r="E23" s="479"/>
      <c r="F23" s="580"/>
      <c r="G23" s="480"/>
      <c r="H23" s="580"/>
      <c r="I23" s="483"/>
      <c r="J23" s="146"/>
      <c r="K23" s="297"/>
      <c r="L23" s="541"/>
      <c r="M23" s="469"/>
      <c r="N23" s="262"/>
      <c r="O23" s="348" t="s">
        <v>280</v>
      </c>
      <c r="P23" s="349" t="s">
        <v>79</v>
      </c>
      <c r="Q23" s="476"/>
      <c r="R23" s="467"/>
      <c r="S23" s="467"/>
      <c r="T23" s="476"/>
      <c r="U23" s="490" t="str">
        <f>IF(ISERROR(VLOOKUP($T23, 'Reference data'!$J$2:$K$139, 2, FALSE)),"-",VLOOKUP($T23, 'Reference data'!$J$2:$K$139, 2, FALSE))</f>
        <v>-</v>
      </c>
      <c r="V23" s="147"/>
      <c r="W23" s="147"/>
      <c r="X23" s="471"/>
      <c r="Y23" s="472"/>
      <c r="Z23" s="144"/>
      <c r="AA23" s="508"/>
      <c r="AB23" s="163"/>
      <c r="AC23" s="148"/>
      <c r="AD23" s="480"/>
      <c r="AE23" s="348" t="s">
        <v>280</v>
      </c>
      <c r="AF23" s="354" t="s">
        <v>79</v>
      </c>
      <c r="AG23" s="484"/>
    </row>
    <row r="24" spans="2:33" s="434" customFormat="1">
      <c r="B24" s="493" t="str">
        <f>IF(AND(Validator!G18=TRUE,Validator!G268=TRUE,Validator!G518=TRUE,Validator!G768=TRUE,Validator!G1018=TRUE,Validator!G1268=TRUE),"Valid","Invalid")</f>
        <v>Valid</v>
      </c>
      <c r="C24" s="144"/>
      <c r="D24" s="478"/>
      <c r="E24" s="479"/>
      <c r="F24" s="580"/>
      <c r="G24" s="480"/>
      <c r="H24" s="580"/>
      <c r="I24" s="483"/>
      <c r="J24" s="146"/>
      <c r="K24" s="297"/>
      <c r="L24" s="541"/>
      <c r="M24" s="469"/>
      <c r="N24" s="262"/>
      <c r="O24" s="348" t="s">
        <v>280</v>
      </c>
      <c r="P24" s="349" t="s">
        <v>79</v>
      </c>
      <c r="Q24" s="476"/>
      <c r="R24" s="467"/>
      <c r="S24" s="467"/>
      <c r="T24" s="476"/>
      <c r="U24" s="490" t="str">
        <f>IF(ISERROR(VLOOKUP($T24, 'Reference data'!$J$2:$K$139, 2, FALSE)),"-",VLOOKUP($T24, 'Reference data'!$J$2:$K$139, 2, FALSE))</f>
        <v>-</v>
      </c>
      <c r="V24" s="147"/>
      <c r="W24" s="147"/>
      <c r="X24" s="471"/>
      <c r="Y24" s="472"/>
      <c r="Z24" s="144"/>
      <c r="AA24" s="508"/>
      <c r="AB24" s="163"/>
      <c r="AC24" s="148"/>
      <c r="AD24" s="480"/>
      <c r="AE24" s="348" t="s">
        <v>280</v>
      </c>
      <c r="AF24" s="354" t="s">
        <v>79</v>
      </c>
      <c r="AG24" s="484"/>
    </row>
    <row r="25" spans="2:33" s="434" customFormat="1">
      <c r="B25" s="493" t="str">
        <f>IF(AND(Validator!G19=TRUE,Validator!G269=TRUE,Validator!G519=TRUE,Validator!G769=TRUE,Validator!G1019=TRUE,Validator!G1269=TRUE),"Valid","Invalid")</f>
        <v>Valid</v>
      </c>
      <c r="C25" s="144"/>
      <c r="D25" s="478"/>
      <c r="E25" s="479"/>
      <c r="F25" s="580"/>
      <c r="G25" s="480"/>
      <c r="H25" s="580"/>
      <c r="I25" s="483"/>
      <c r="J25" s="146"/>
      <c r="K25" s="297"/>
      <c r="L25" s="541"/>
      <c r="M25" s="469"/>
      <c r="N25" s="262"/>
      <c r="O25" s="348" t="s">
        <v>280</v>
      </c>
      <c r="P25" s="349" t="s">
        <v>79</v>
      </c>
      <c r="Q25" s="476"/>
      <c r="R25" s="467"/>
      <c r="S25" s="467"/>
      <c r="T25" s="476"/>
      <c r="U25" s="490" t="str">
        <f>IF(ISERROR(VLOOKUP($T25, 'Reference data'!$J$2:$K$139, 2, FALSE)),"-",VLOOKUP($T25, 'Reference data'!$J$2:$K$139, 2, FALSE))</f>
        <v>-</v>
      </c>
      <c r="V25" s="147"/>
      <c r="W25" s="147"/>
      <c r="X25" s="471"/>
      <c r="Y25" s="472"/>
      <c r="Z25" s="144"/>
      <c r="AA25" s="508"/>
      <c r="AB25" s="163"/>
      <c r="AC25" s="148"/>
      <c r="AD25" s="480"/>
      <c r="AE25" s="348" t="s">
        <v>280</v>
      </c>
      <c r="AF25" s="354" t="s">
        <v>79</v>
      </c>
      <c r="AG25" s="484"/>
    </row>
    <row r="26" spans="2:33" s="434" customFormat="1">
      <c r="B26" s="493" t="str">
        <f>IF(AND(Validator!G20=TRUE,Validator!G270=TRUE,Validator!G520=TRUE,Validator!G770=TRUE,Validator!G1020=TRUE,Validator!G1270=TRUE),"Valid","Invalid")</f>
        <v>Valid</v>
      </c>
      <c r="C26" s="144"/>
      <c r="D26" s="478"/>
      <c r="E26" s="479"/>
      <c r="F26" s="580"/>
      <c r="G26" s="480"/>
      <c r="H26" s="580"/>
      <c r="I26" s="483"/>
      <c r="J26" s="146"/>
      <c r="K26" s="297"/>
      <c r="L26" s="541"/>
      <c r="M26" s="469"/>
      <c r="N26" s="262"/>
      <c r="O26" s="348" t="s">
        <v>280</v>
      </c>
      <c r="P26" s="349" t="s">
        <v>79</v>
      </c>
      <c r="Q26" s="476"/>
      <c r="R26" s="467"/>
      <c r="S26" s="467"/>
      <c r="T26" s="476"/>
      <c r="U26" s="490" t="str">
        <f>IF(ISERROR(VLOOKUP($T26, 'Reference data'!$J$2:$K$139, 2, FALSE)),"-",VLOOKUP($T26, 'Reference data'!$J$2:$K$139, 2, FALSE))</f>
        <v>-</v>
      </c>
      <c r="V26" s="147"/>
      <c r="W26" s="147"/>
      <c r="X26" s="471"/>
      <c r="Y26" s="472"/>
      <c r="Z26" s="144"/>
      <c r="AA26" s="508"/>
      <c r="AB26" s="163"/>
      <c r="AC26" s="148"/>
      <c r="AD26" s="480"/>
      <c r="AE26" s="348" t="s">
        <v>280</v>
      </c>
      <c r="AF26" s="354" t="s">
        <v>79</v>
      </c>
      <c r="AG26" s="484"/>
    </row>
    <row r="27" spans="2:33" s="434" customFormat="1">
      <c r="B27" s="493" t="str">
        <f>IF(AND(Validator!G21=TRUE,Validator!G271=TRUE,Validator!G521=TRUE,Validator!G771=TRUE,Validator!G1021=TRUE,Validator!G1271=TRUE),"Valid","Invalid")</f>
        <v>Valid</v>
      </c>
      <c r="C27" s="144"/>
      <c r="D27" s="478"/>
      <c r="E27" s="479"/>
      <c r="F27" s="580"/>
      <c r="G27" s="480"/>
      <c r="H27" s="580"/>
      <c r="I27" s="483"/>
      <c r="J27" s="146"/>
      <c r="K27" s="297"/>
      <c r="L27" s="541"/>
      <c r="M27" s="469"/>
      <c r="N27" s="262"/>
      <c r="O27" s="348" t="s">
        <v>280</v>
      </c>
      <c r="P27" s="349" t="s">
        <v>79</v>
      </c>
      <c r="Q27" s="476"/>
      <c r="R27" s="467"/>
      <c r="S27" s="467"/>
      <c r="T27" s="476"/>
      <c r="U27" s="490" t="str">
        <f>IF(ISERROR(VLOOKUP($T27, 'Reference data'!$J$2:$K$139, 2, FALSE)),"-",VLOOKUP($T27, 'Reference data'!$J$2:$K$139, 2, FALSE))</f>
        <v>-</v>
      </c>
      <c r="V27" s="147"/>
      <c r="W27" s="147"/>
      <c r="X27" s="471"/>
      <c r="Y27" s="472"/>
      <c r="Z27" s="144"/>
      <c r="AA27" s="508"/>
      <c r="AB27" s="163"/>
      <c r="AC27" s="148"/>
      <c r="AD27" s="480"/>
      <c r="AE27" s="348" t="s">
        <v>280</v>
      </c>
      <c r="AF27" s="354" t="s">
        <v>79</v>
      </c>
      <c r="AG27" s="484"/>
    </row>
    <row r="28" spans="2:33" s="434" customFormat="1">
      <c r="B28" s="493" t="str">
        <f>IF(AND(Validator!G22=TRUE,Validator!G272=TRUE,Validator!G522=TRUE,Validator!G772=TRUE,Validator!G1022=TRUE,Validator!G1272=TRUE),"Valid","Invalid")</f>
        <v>Valid</v>
      </c>
      <c r="C28" s="144"/>
      <c r="D28" s="478"/>
      <c r="E28" s="479"/>
      <c r="F28" s="580"/>
      <c r="G28" s="480"/>
      <c r="H28" s="580"/>
      <c r="I28" s="483"/>
      <c r="J28" s="146"/>
      <c r="K28" s="297"/>
      <c r="L28" s="541"/>
      <c r="M28" s="469"/>
      <c r="N28" s="262"/>
      <c r="O28" s="348" t="s">
        <v>280</v>
      </c>
      <c r="P28" s="349" t="s">
        <v>79</v>
      </c>
      <c r="Q28" s="476"/>
      <c r="R28" s="467"/>
      <c r="S28" s="467"/>
      <c r="T28" s="476"/>
      <c r="U28" s="490" t="str">
        <f>IF(ISERROR(VLOOKUP($T28, 'Reference data'!$J$2:$K$139, 2, FALSE)),"-",VLOOKUP($T28, 'Reference data'!$J$2:$K$139, 2, FALSE))</f>
        <v>-</v>
      </c>
      <c r="V28" s="147"/>
      <c r="W28" s="147"/>
      <c r="X28" s="471"/>
      <c r="Y28" s="472"/>
      <c r="Z28" s="144"/>
      <c r="AA28" s="508"/>
      <c r="AB28" s="163"/>
      <c r="AC28" s="148"/>
      <c r="AD28" s="480"/>
      <c r="AE28" s="348" t="s">
        <v>280</v>
      </c>
      <c r="AF28" s="354" t="s">
        <v>79</v>
      </c>
      <c r="AG28" s="484"/>
    </row>
    <row r="29" spans="2:33" s="434" customFormat="1">
      <c r="B29" s="493" t="str">
        <f>IF(AND(Validator!G23=TRUE,Validator!G273=TRUE,Validator!G523=TRUE,Validator!G773=TRUE,Validator!G1023=TRUE,Validator!G1273=TRUE),"Valid","Invalid")</f>
        <v>Valid</v>
      </c>
      <c r="C29" s="144"/>
      <c r="D29" s="478"/>
      <c r="E29" s="479"/>
      <c r="F29" s="580"/>
      <c r="G29" s="480"/>
      <c r="H29" s="580"/>
      <c r="I29" s="483"/>
      <c r="J29" s="146"/>
      <c r="K29" s="297"/>
      <c r="L29" s="541"/>
      <c r="M29" s="469"/>
      <c r="N29" s="262"/>
      <c r="O29" s="348" t="s">
        <v>280</v>
      </c>
      <c r="P29" s="349" t="s">
        <v>79</v>
      </c>
      <c r="Q29" s="476"/>
      <c r="R29" s="467"/>
      <c r="S29" s="467"/>
      <c r="T29" s="476"/>
      <c r="U29" s="490" t="str">
        <f>IF(ISERROR(VLOOKUP($T29, 'Reference data'!$J$2:$K$139, 2, FALSE)),"-",VLOOKUP($T29, 'Reference data'!$J$2:$K$139, 2, FALSE))</f>
        <v>-</v>
      </c>
      <c r="V29" s="147"/>
      <c r="W29" s="147"/>
      <c r="X29" s="471"/>
      <c r="Y29" s="472"/>
      <c r="Z29" s="144"/>
      <c r="AA29" s="508"/>
      <c r="AB29" s="163"/>
      <c r="AC29" s="148"/>
      <c r="AD29" s="480"/>
      <c r="AE29" s="348" t="s">
        <v>280</v>
      </c>
      <c r="AF29" s="354" t="s">
        <v>79</v>
      </c>
      <c r="AG29" s="484"/>
    </row>
    <row r="30" spans="2:33" s="434" customFormat="1">
      <c r="B30" s="493" t="str">
        <f>IF(AND(Validator!G24=TRUE,Validator!G274=TRUE,Validator!G524=TRUE,Validator!G774=TRUE,Validator!G1024=TRUE,Validator!G1274=TRUE),"Valid","Invalid")</f>
        <v>Valid</v>
      </c>
      <c r="C30" s="144"/>
      <c r="D30" s="478"/>
      <c r="E30" s="479"/>
      <c r="F30" s="580"/>
      <c r="G30" s="480"/>
      <c r="H30" s="580"/>
      <c r="I30" s="483"/>
      <c r="J30" s="146"/>
      <c r="K30" s="297"/>
      <c r="L30" s="541"/>
      <c r="M30" s="469"/>
      <c r="N30" s="262"/>
      <c r="O30" s="348" t="s">
        <v>280</v>
      </c>
      <c r="P30" s="349" t="s">
        <v>79</v>
      </c>
      <c r="Q30" s="476"/>
      <c r="R30" s="467"/>
      <c r="S30" s="467"/>
      <c r="T30" s="476"/>
      <c r="U30" s="490" t="str">
        <f>IF(ISERROR(VLOOKUP($T30, 'Reference data'!$J$2:$K$139, 2, FALSE)),"-",VLOOKUP($T30, 'Reference data'!$J$2:$K$139, 2, FALSE))</f>
        <v>-</v>
      </c>
      <c r="V30" s="147"/>
      <c r="W30" s="147"/>
      <c r="X30" s="471"/>
      <c r="Y30" s="472"/>
      <c r="Z30" s="144"/>
      <c r="AA30" s="508"/>
      <c r="AB30" s="163"/>
      <c r="AC30" s="148"/>
      <c r="AD30" s="480"/>
      <c r="AE30" s="348" t="s">
        <v>280</v>
      </c>
      <c r="AF30" s="354" t="s">
        <v>79</v>
      </c>
      <c r="AG30" s="484"/>
    </row>
    <row r="31" spans="2:33" s="434" customFormat="1">
      <c r="B31" s="493" t="str">
        <f>IF(AND(Validator!G25=TRUE,Validator!G275=TRUE,Validator!G525=TRUE,Validator!G775=TRUE,Validator!G1025=TRUE,Validator!G1275=TRUE),"Valid","Invalid")</f>
        <v>Valid</v>
      </c>
      <c r="C31" s="144"/>
      <c r="D31" s="478"/>
      <c r="E31" s="479"/>
      <c r="F31" s="580"/>
      <c r="G31" s="480"/>
      <c r="H31" s="580"/>
      <c r="I31" s="483"/>
      <c r="J31" s="146"/>
      <c r="K31" s="297"/>
      <c r="L31" s="541"/>
      <c r="M31" s="469"/>
      <c r="N31" s="262"/>
      <c r="O31" s="348" t="s">
        <v>280</v>
      </c>
      <c r="P31" s="349" t="s">
        <v>79</v>
      </c>
      <c r="Q31" s="476"/>
      <c r="R31" s="467"/>
      <c r="S31" s="467"/>
      <c r="T31" s="476"/>
      <c r="U31" s="490" t="str">
        <f>IF(ISERROR(VLOOKUP($T31, 'Reference data'!$J$2:$K$139, 2, FALSE)),"-",VLOOKUP($T31, 'Reference data'!$J$2:$K$139, 2, FALSE))</f>
        <v>-</v>
      </c>
      <c r="V31" s="147"/>
      <c r="W31" s="147"/>
      <c r="X31" s="471"/>
      <c r="Y31" s="472"/>
      <c r="Z31" s="144"/>
      <c r="AA31" s="508"/>
      <c r="AB31" s="163"/>
      <c r="AC31" s="148"/>
      <c r="AD31" s="480"/>
      <c r="AE31" s="348" t="s">
        <v>280</v>
      </c>
      <c r="AF31" s="354" t="s">
        <v>79</v>
      </c>
      <c r="AG31" s="484"/>
    </row>
    <row r="32" spans="2:33" s="434" customFormat="1">
      <c r="B32" s="493" t="str">
        <f>IF(AND(Validator!G26=TRUE,Validator!G276=TRUE,Validator!G526=TRUE,Validator!G776=TRUE,Validator!G1026=TRUE,Validator!G1276=TRUE),"Valid","Invalid")</f>
        <v>Valid</v>
      </c>
      <c r="C32" s="144"/>
      <c r="D32" s="478"/>
      <c r="E32" s="479"/>
      <c r="F32" s="580"/>
      <c r="G32" s="480"/>
      <c r="H32" s="580"/>
      <c r="I32" s="483"/>
      <c r="J32" s="146"/>
      <c r="K32" s="297"/>
      <c r="L32" s="541"/>
      <c r="M32" s="469"/>
      <c r="N32" s="262"/>
      <c r="O32" s="348" t="s">
        <v>280</v>
      </c>
      <c r="P32" s="349" t="s">
        <v>79</v>
      </c>
      <c r="Q32" s="476"/>
      <c r="R32" s="467"/>
      <c r="S32" s="467"/>
      <c r="T32" s="476"/>
      <c r="U32" s="490" t="str">
        <f>IF(ISERROR(VLOOKUP($T32, 'Reference data'!$J$2:$K$139, 2, FALSE)),"-",VLOOKUP($T32, 'Reference data'!$J$2:$K$139, 2, FALSE))</f>
        <v>-</v>
      </c>
      <c r="V32" s="147"/>
      <c r="W32" s="147"/>
      <c r="X32" s="471"/>
      <c r="Y32" s="472"/>
      <c r="Z32" s="144"/>
      <c r="AA32" s="508"/>
      <c r="AB32" s="163"/>
      <c r="AC32" s="148"/>
      <c r="AD32" s="480"/>
      <c r="AE32" s="348" t="s">
        <v>280</v>
      </c>
      <c r="AF32" s="354" t="s">
        <v>79</v>
      </c>
      <c r="AG32" s="484"/>
    </row>
    <row r="33" spans="2:33" s="434" customFormat="1">
      <c r="B33" s="493" t="str">
        <f>IF(AND(Validator!G27=TRUE,Validator!G277=TRUE,Validator!G527=TRUE,Validator!G777=TRUE,Validator!G1027=TRUE,Validator!G1277=TRUE),"Valid","Invalid")</f>
        <v>Valid</v>
      </c>
      <c r="C33" s="144"/>
      <c r="D33" s="478"/>
      <c r="E33" s="479"/>
      <c r="F33" s="580"/>
      <c r="G33" s="480"/>
      <c r="H33" s="580"/>
      <c r="I33" s="483"/>
      <c r="J33" s="146"/>
      <c r="K33" s="297"/>
      <c r="L33" s="541"/>
      <c r="M33" s="469"/>
      <c r="N33" s="262"/>
      <c r="O33" s="348" t="s">
        <v>280</v>
      </c>
      <c r="P33" s="349" t="s">
        <v>79</v>
      </c>
      <c r="Q33" s="476"/>
      <c r="R33" s="467"/>
      <c r="S33" s="467"/>
      <c r="T33" s="476"/>
      <c r="U33" s="490" t="str">
        <f>IF(ISERROR(VLOOKUP($T33, 'Reference data'!$J$2:$K$139, 2, FALSE)),"-",VLOOKUP($T33, 'Reference data'!$J$2:$K$139, 2, FALSE))</f>
        <v>-</v>
      </c>
      <c r="V33" s="147"/>
      <c r="W33" s="147"/>
      <c r="X33" s="471"/>
      <c r="Y33" s="472"/>
      <c r="Z33" s="144"/>
      <c r="AA33" s="508"/>
      <c r="AB33" s="163"/>
      <c r="AC33" s="148"/>
      <c r="AD33" s="480"/>
      <c r="AE33" s="348" t="s">
        <v>280</v>
      </c>
      <c r="AF33" s="354" t="s">
        <v>79</v>
      </c>
      <c r="AG33" s="484"/>
    </row>
    <row r="34" spans="2:33" s="434" customFormat="1">
      <c r="B34" s="493" t="str">
        <f>IF(AND(Validator!G28=TRUE,Validator!G278=TRUE,Validator!G528=TRUE,Validator!G778=TRUE,Validator!G1028=TRUE,Validator!G1278=TRUE),"Valid","Invalid")</f>
        <v>Valid</v>
      </c>
      <c r="C34" s="144"/>
      <c r="D34" s="478"/>
      <c r="E34" s="479"/>
      <c r="F34" s="580"/>
      <c r="G34" s="480"/>
      <c r="H34" s="580"/>
      <c r="I34" s="483"/>
      <c r="J34" s="146"/>
      <c r="K34" s="297"/>
      <c r="L34" s="541"/>
      <c r="M34" s="469"/>
      <c r="N34" s="262"/>
      <c r="O34" s="348" t="s">
        <v>280</v>
      </c>
      <c r="P34" s="349" t="s">
        <v>79</v>
      </c>
      <c r="Q34" s="476"/>
      <c r="R34" s="467"/>
      <c r="S34" s="467"/>
      <c r="T34" s="476"/>
      <c r="U34" s="490" t="str">
        <f>IF(ISERROR(VLOOKUP($T34, 'Reference data'!$J$2:$K$139, 2, FALSE)),"-",VLOOKUP($T34, 'Reference data'!$J$2:$K$139, 2, FALSE))</f>
        <v>-</v>
      </c>
      <c r="V34" s="147"/>
      <c r="W34" s="147"/>
      <c r="X34" s="471"/>
      <c r="Y34" s="472"/>
      <c r="Z34" s="144"/>
      <c r="AA34" s="508"/>
      <c r="AB34" s="163"/>
      <c r="AC34" s="148"/>
      <c r="AD34" s="480"/>
      <c r="AE34" s="348" t="s">
        <v>280</v>
      </c>
      <c r="AF34" s="354" t="s">
        <v>79</v>
      </c>
      <c r="AG34" s="484"/>
    </row>
    <row r="35" spans="2:33" s="434" customFormat="1">
      <c r="B35" s="493" t="str">
        <f>IF(AND(Validator!G29=TRUE,Validator!G279=TRUE,Validator!G529=TRUE,Validator!G779=TRUE,Validator!G1029=TRUE,Validator!G1279=TRUE),"Valid","Invalid")</f>
        <v>Valid</v>
      </c>
      <c r="C35" s="144"/>
      <c r="D35" s="478"/>
      <c r="E35" s="479"/>
      <c r="F35" s="580"/>
      <c r="G35" s="480"/>
      <c r="H35" s="580"/>
      <c r="I35" s="483"/>
      <c r="J35" s="146"/>
      <c r="K35" s="297"/>
      <c r="L35" s="541"/>
      <c r="M35" s="469"/>
      <c r="N35" s="262"/>
      <c r="O35" s="348" t="s">
        <v>280</v>
      </c>
      <c r="P35" s="349" t="s">
        <v>79</v>
      </c>
      <c r="Q35" s="476"/>
      <c r="R35" s="467"/>
      <c r="S35" s="467"/>
      <c r="T35" s="476"/>
      <c r="U35" s="490" t="str">
        <f>IF(ISERROR(VLOOKUP($T35, 'Reference data'!$J$2:$K$139, 2, FALSE)),"-",VLOOKUP($T35, 'Reference data'!$J$2:$K$139, 2, FALSE))</f>
        <v>-</v>
      </c>
      <c r="V35" s="147"/>
      <c r="W35" s="147"/>
      <c r="X35" s="471"/>
      <c r="Y35" s="472"/>
      <c r="Z35" s="144"/>
      <c r="AA35" s="508"/>
      <c r="AB35" s="163"/>
      <c r="AC35" s="148"/>
      <c r="AD35" s="480"/>
      <c r="AE35" s="348" t="s">
        <v>280</v>
      </c>
      <c r="AF35" s="354" t="s">
        <v>79</v>
      </c>
      <c r="AG35" s="484"/>
    </row>
    <row r="36" spans="2:33" s="434" customFormat="1">
      <c r="B36" s="493" t="str">
        <f>IF(AND(Validator!G30=TRUE,Validator!G280=TRUE,Validator!G530=TRUE,Validator!G780=TRUE,Validator!G1030=TRUE,Validator!G1280=TRUE),"Valid","Invalid")</f>
        <v>Valid</v>
      </c>
      <c r="C36" s="144"/>
      <c r="D36" s="478"/>
      <c r="E36" s="479"/>
      <c r="F36" s="580"/>
      <c r="G36" s="480"/>
      <c r="H36" s="580"/>
      <c r="I36" s="483"/>
      <c r="J36" s="146"/>
      <c r="K36" s="297"/>
      <c r="L36" s="541"/>
      <c r="M36" s="469"/>
      <c r="N36" s="262"/>
      <c r="O36" s="348" t="s">
        <v>280</v>
      </c>
      <c r="P36" s="349" t="s">
        <v>79</v>
      </c>
      <c r="Q36" s="476"/>
      <c r="R36" s="467"/>
      <c r="S36" s="467"/>
      <c r="T36" s="476"/>
      <c r="U36" s="490" t="str">
        <f>IF(ISERROR(VLOOKUP($T36, 'Reference data'!$J$2:$K$139, 2, FALSE)),"-",VLOOKUP($T36, 'Reference data'!$J$2:$K$139, 2, FALSE))</f>
        <v>-</v>
      </c>
      <c r="V36" s="147"/>
      <c r="W36" s="147"/>
      <c r="X36" s="471"/>
      <c r="Y36" s="472"/>
      <c r="Z36" s="144"/>
      <c r="AA36" s="508"/>
      <c r="AB36" s="163"/>
      <c r="AC36" s="148"/>
      <c r="AD36" s="480"/>
      <c r="AE36" s="348" t="s">
        <v>280</v>
      </c>
      <c r="AF36" s="354" t="s">
        <v>79</v>
      </c>
      <c r="AG36" s="484"/>
    </row>
    <row r="37" spans="2:33" s="434" customFormat="1">
      <c r="B37" s="493" t="str">
        <f>IF(AND(Validator!G31=TRUE,Validator!G281=TRUE,Validator!G531=TRUE,Validator!G781=TRUE,Validator!G1031=TRUE,Validator!G1281=TRUE),"Valid","Invalid")</f>
        <v>Valid</v>
      </c>
      <c r="C37" s="144"/>
      <c r="D37" s="478"/>
      <c r="E37" s="479"/>
      <c r="F37" s="580"/>
      <c r="G37" s="480"/>
      <c r="H37" s="580"/>
      <c r="I37" s="483"/>
      <c r="J37" s="146"/>
      <c r="K37" s="297"/>
      <c r="L37" s="541"/>
      <c r="M37" s="469"/>
      <c r="N37" s="262"/>
      <c r="O37" s="348" t="s">
        <v>280</v>
      </c>
      <c r="P37" s="349" t="s">
        <v>79</v>
      </c>
      <c r="Q37" s="476"/>
      <c r="R37" s="467"/>
      <c r="S37" s="467"/>
      <c r="T37" s="476"/>
      <c r="U37" s="490" t="str">
        <f>IF(ISERROR(VLOOKUP($T37, 'Reference data'!$J$2:$K$139, 2, FALSE)),"-",VLOOKUP($T37, 'Reference data'!$J$2:$K$139, 2, FALSE))</f>
        <v>-</v>
      </c>
      <c r="V37" s="147"/>
      <c r="W37" s="147"/>
      <c r="X37" s="471"/>
      <c r="Y37" s="472"/>
      <c r="Z37" s="144"/>
      <c r="AA37" s="508"/>
      <c r="AB37" s="163"/>
      <c r="AC37" s="148"/>
      <c r="AD37" s="480"/>
      <c r="AE37" s="348" t="s">
        <v>280</v>
      </c>
      <c r="AF37" s="354" t="s">
        <v>79</v>
      </c>
      <c r="AG37" s="484"/>
    </row>
    <row r="38" spans="2:33" s="434" customFormat="1">
      <c r="B38" s="493" t="str">
        <f>IF(AND(Validator!G32=TRUE,Validator!G282=TRUE,Validator!G532=TRUE,Validator!G782=TRUE,Validator!G1032=TRUE,Validator!G1282=TRUE),"Valid","Invalid")</f>
        <v>Valid</v>
      </c>
      <c r="C38" s="144"/>
      <c r="D38" s="478"/>
      <c r="E38" s="479"/>
      <c r="F38" s="580"/>
      <c r="G38" s="480"/>
      <c r="H38" s="580"/>
      <c r="I38" s="483"/>
      <c r="J38" s="146"/>
      <c r="K38" s="297"/>
      <c r="L38" s="541"/>
      <c r="M38" s="469"/>
      <c r="N38" s="262"/>
      <c r="O38" s="348" t="s">
        <v>280</v>
      </c>
      <c r="P38" s="349" t="s">
        <v>79</v>
      </c>
      <c r="Q38" s="476"/>
      <c r="R38" s="467"/>
      <c r="S38" s="467"/>
      <c r="T38" s="476"/>
      <c r="U38" s="490" t="str">
        <f>IF(ISERROR(VLOOKUP($T38, 'Reference data'!$J$2:$K$139, 2, FALSE)),"-",VLOOKUP($T38, 'Reference data'!$J$2:$K$139, 2, FALSE))</f>
        <v>-</v>
      </c>
      <c r="V38" s="147"/>
      <c r="W38" s="147"/>
      <c r="X38" s="471"/>
      <c r="Y38" s="472"/>
      <c r="Z38" s="144"/>
      <c r="AA38" s="508"/>
      <c r="AB38" s="163"/>
      <c r="AC38" s="148"/>
      <c r="AD38" s="480"/>
      <c r="AE38" s="348" t="s">
        <v>280</v>
      </c>
      <c r="AF38" s="354" t="s">
        <v>79</v>
      </c>
      <c r="AG38" s="484"/>
    </row>
    <row r="39" spans="2:33" s="434" customFormat="1">
      <c r="B39" s="493" t="str">
        <f>IF(AND(Validator!G33=TRUE,Validator!G283=TRUE,Validator!G533=TRUE,Validator!G783=TRUE,Validator!G1033=TRUE,Validator!G1283=TRUE),"Valid","Invalid")</f>
        <v>Valid</v>
      </c>
      <c r="C39" s="144"/>
      <c r="D39" s="478"/>
      <c r="E39" s="479"/>
      <c r="F39" s="580"/>
      <c r="G39" s="480"/>
      <c r="H39" s="580"/>
      <c r="I39" s="483"/>
      <c r="J39" s="146"/>
      <c r="K39" s="297"/>
      <c r="L39" s="541"/>
      <c r="M39" s="469"/>
      <c r="N39" s="262"/>
      <c r="O39" s="348" t="s">
        <v>280</v>
      </c>
      <c r="P39" s="349" t="s">
        <v>79</v>
      </c>
      <c r="Q39" s="476"/>
      <c r="R39" s="467"/>
      <c r="S39" s="467"/>
      <c r="T39" s="476"/>
      <c r="U39" s="490" t="str">
        <f>IF(ISERROR(VLOOKUP($T39, 'Reference data'!$J$2:$K$139, 2, FALSE)),"-",VLOOKUP($T39, 'Reference data'!$J$2:$K$139, 2, FALSE))</f>
        <v>-</v>
      </c>
      <c r="V39" s="147"/>
      <c r="W39" s="147"/>
      <c r="X39" s="471"/>
      <c r="Y39" s="472"/>
      <c r="Z39" s="144"/>
      <c r="AA39" s="508"/>
      <c r="AB39" s="163"/>
      <c r="AC39" s="148"/>
      <c r="AD39" s="480"/>
      <c r="AE39" s="348" t="s">
        <v>280</v>
      </c>
      <c r="AF39" s="354" t="s">
        <v>79</v>
      </c>
      <c r="AG39" s="484"/>
    </row>
    <row r="40" spans="2:33" s="434" customFormat="1">
      <c r="B40" s="493" t="str">
        <f>IF(AND(Validator!G34=TRUE,Validator!G284=TRUE,Validator!G534=TRUE,Validator!G784=TRUE,Validator!G1034=TRUE,Validator!G1284=TRUE),"Valid","Invalid")</f>
        <v>Valid</v>
      </c>
      <c r="C40" s="144"/>
      <c r="D40" s="478"/>
      <c r="E40" s="479"/>
      <c r="F40" s="580"/>
      <c r="G40" s="480"/>
      <c r="H40" s="580"/>
      <c r="I40" s="483"/>
      <c r="J40" s="146"/>
      <c r="K40" s="297"/>
      <c r="L40" s="541"/>
      <c r="M40" s="469"/>
      <c r="N40" s="262"/>
      <c r="O40" s="348" t="s">
        <v>280</v>
      </c>
      <c r="P40" s="349" t="s">
        <v>79</v>
      </c>
      <c r="Q40" s="476"/>
      <c r="R40" s="467"/>
      <c r="S40" s="467"/>
      <c r="T40" s="476"/>
      <c r="U40" s="490" t="str">
        <f>IF(ISERROR(VLOOKUP($T40, 'Reference data'!$J$2:$K$139, 2, FALSE)),"-",VLOOKUP($T40, 'Reference data'!$J$2:$K$139, 2, FALSE))</f>
        <v>-</v>
      </c>
      <c r="V40" s="147"/>
      <c r="W40" s="147"/>
      <c r="X40" s="471"/>
      <c r="Y40" s="472"/>
      <c r="Z40" s="144"/>
      <c r="AA40" s="508"/>
      <c r="AB40" s="163"/>
      <c r="AC40" s="148"/>
      <c r="AD40" s="480"/>
      <c r="AE40" s="348" t="s">
        <v>280</v>
      </c>
      <c r="AF40" s="354" t="s">
        <v>79</v>
      </c>
      <c r="AG40" s="484"/>
    </row>
    <row r="41" spans="2:33" s="434" customFormat="1">
      <c r="B41" s="493" t="str">
        <f>IF(AND(Validator!G35=TRUE,Validator!G285=TRUE,Validator!G535=TRUE,Validator!G785=TRUE,Validator!G1035=TRUE,Validator!G1285=TRUE),"Valid","Invalid")</f>
        <v>Valid</v>
      </c>
      <c r="C41" s="144"/>
      <c r="D41" s="478"/>
      <c r="E41" s="479"/>
      <c r="F41" s="580"/>
      <c r="G41" s="480"/>
      <c r="H41" s="580"/>
      <c r="I41" s="483"/>
      <c r="J41" s="146"/>
      <c r="K41" s="297"/>
      <c r="L41" s="541"/>
      <c r="M41" s="469"/>
      <c r="N41" s="262"/>
      <c r="O41" s="348" t="s">
        <v>280</v>
      </c>
      <c r="P41" s="349" t="s">
        <v>79</v>
      </c>
      <c r="Q41" s="476"/>
      <c r="R41" s="467"/>
      <c r="S41" s="467"/>
      <c r="T41" s="476"/>
      <c r="U41" s="490" t="str">
        <f>IF(ISERROR(VLOOKUP($T41, 'Reference data'!$J$2:$K$139, 2, FALSE)),"-",VLOOKUP($T41, 'Reference data'!$J$2:$K$139, 2, FALSE))</f>
        <v>-</v>
      </c>
      <c r="V41" s="147"/>
      <c r="W41" s="147"/>
      <c r="X41" s="471"/>
      <c r="Y41" s="472"/>
      <c r="Z41" s="144"/>
      <c r="AA41" s="508"/>
      <c r="AB41" s="163"/>
      <c r="AC41" s="148"/>
      <c r="AD41" s="480"/>
      <c r="AE41" s="348" t="s">
        <v>280</v>
      </c>
      <c r="AF41" s="354" t="s">
        <v>79</v>
      </c>
      <c r="AG41" s="484"/>
    </row>
    <row r="42" spans="2:33" s="434" customFormat="1">
      <c r="B42" s="493" t="str">
        <f>IF(AND(Validator!G36=TRUE,Validator!G286=TRUE,Validator!G536=TRUE,Validator!G786=TRUE,Validator!G1036=TRUE,Validator!G1286=TRUE),"Valid","Invalid")</f>
        <v>Valid</v>
      </c>
      <c r="C42" s="144"/>
      <c r="D42" s="478"/>
      <c r="E42" s="479"/>
      <c r="F42" s="580"/>
      <c r="G42" s="480"/>
      <c r="H42" s="580"/>
      <c r="I42" s="483"/>
      <c r="J42" s="146"/>
      <c r="K42" s="297"/>
      <c r="L42" s="541"/>
      <c r="M42" s="469"/>
      <c r="N42" s="262"/>
      <c r="O42" s="348" t="s">
        <v>280</v>
      </c>
      <c r="P42" s="349" t="s">
        <v>79</v>
      </c>
      <c r="Q42" s="476"/>
      <c r="R42" s="467"/>
      <c r="S42" s="467"/>
      <c r="T42" s="476"/>
      <c r="U42" s="490" t="str">
        <f>IF(ISERROR(VLOOKUP($T42, 'Reference data'!$J$2:$K$139, 2, FALSE)),"-",VLOOKUP($T42, 'Reference data'!$J$2:$K$139, 2, FALSE))</f>
        <v>-</v>
      </c>
      <c r="V42" s="147"/>
      <c r="W42" s="147"/>
      <c r="X42" s="471"/>
      <c r="Y42" s="472"/>
      <c r="Z42" s="144"/>
      <c r="AA42" s="508"/>
      <c r="AB42" s="163"/>
      <c r="AC42" s="148"/>
      <c r="AD42" s="480"/>
      <c r="AE42" s="348" t="s">
        <v>280</v>
      </c>
      <c r="AF42" s="354" t="s">
        <v>79</v>
      </c>
      <c r="AG42" s="484"/>
    </row>
    <row r="43" spans="2:33" s="434" customFormat="1">
      <c r="B43" s="493" t="str">
        <f>IF(AND(Validator!G37=TRUE,Validator!G287=TRUE,Validator!G537=TRUE,Validator!G787=TRUE,Validator!G1037=TRUE,Validator!G1287=TRUE),"Valid","Invalid")</f>
        <v>Valid</v>
      </c>
      <c r="C43" s="144"/>
      <c r="D43" s="478"/>
      <c r="E43" s="479"/>
      <c r="F43" s="580"/>
      <c r="G43" s="480"/>
      <c r="H43" s="580"/>
      <c r="I43" s="483"/>
      <c r="J43" s="146"/>
      <c r="K43" s="297"/>
      <c r="L43" s="541"/>
      <c r="M43" s="469"/>
      <c r="N43" s="262"/>
      <c r="O43" s="348" t="s">
        <v>280</v>
      </c>
      <c r="P43" s="349" t="s">
        <v>79</v>
      </c>
      <c r="Q43" s="476"/>
      <c r="R43" s="467"/>
      <c r="S43" s="467"/>
      <c r="T43" s="476"/>
      <c r="U43" s="490" t="str">
        <f>IF(ISERROR(VLOOKUP($T43, 'Reference data'!$J$2:$K$139, 2, FALSE)),"-",VLOOKUP($T43, 'Reference data'!$J$2:$K$139, 2, FALSE))</f>
        <v>-</v>
      </c>
      <c r="V43" s="147"/>
      <c r="W43" s="147"/>
      <c r="X43" s="471"/>
      <c r="Y43" s="472"/>
      <c r="Z43" s="144"/>
      <c r="AA43" s="508"/>
      <c r="AB43" s="163"/>
      <c r="AC43" s="148"/>
      <c r="AD43" s="480"/>
      <c r="AE43" s="348" t="s">
        <v>280</v>
      </c>
      <c r="AF43" s="354" t="s">
        <v>79</v>
      </c>
      <c r="AG43" s="484"/>
    </row>
    <row r="44" spans="2:33" s="434" customFormat="1">
      <c r="B44" s="493" t="str">
        <f>IF(AND(Validator!G38=TRUE,Validator!G288=TRUE,Validator!G538=TRUE,Validator!G788=TRUE,Validator!G1038=TRUE,Validator!G1288=TRUE),"Valid","Invalid")</f>
        <v>Valid</v>
      </c>
      <c r="C44" s="144"/>
      <c r="D44" s="478"/>
      <c r="E44" s="479"/>
      <c r="F44" s="580"/>
      <c r="G44" s="480"/>
      <c r="H44" s="580"/>
      <c r="I44" s="483"/>
      <c r="J44" s="146"/>
      <c r="K44" s="297"/>
      <c r="L44" s="541"/>
      <c r="M44" s="469"/>
      <c r="N44" s="262"/>
      <c r="O44" s="348" t="s">
        <v>280</v>
      </c>
      <c r="P44" s="349" t="s">
        <v>79</v>
      </c>
      <c r="Q44" s="476"/>
      <c r="R44" s="467"/>
      <c r="S44" s="467"/>
      <c r="T44" s="476"/>
      <c r="U44" s="490" t="str">
        <f>IF(ISERROR(VLOOKUP($T44, 'Reference data'!$J$2:$K$139, 2, FALSE)),"-",VLOOKUP($T44, 'Reference data'!$J$2:$K$139, 2, FALSE))</f>
        <v>-</v>
      </c>
      <c r="V44" s="147"/>
      <c r="W44" s="147"/>
      <c r="X44" s="471"/>
      <c r="Y44" s="472"/>
      <c r="Z44" s="144"/>
      <c r="AA44" s="508"/>
      <c r="AB44" s="163"/>
      <c r="AC44" s="148"/>
      <c r="AD44" s="480"/>
      <c r="AE44" s="348" t="s">
        <v>280</v>
      </c>
      <c r="AF44" s="354" t="s">
        <v>79</v>
      </c>
      <c r="AG44" s="484"/>
    </row>
    <row r="45" spans="2:33" s="434" customFormat="1">
      <c r="B45" s="493" t="str">
        <f>IF(AND(Validator!G39=TRUE,Validator!G289=TRUE,Validator!G539=TRUE,Validator!G789=TRUE,Validator!G1039=TRUE,Validator!G1289=TRUE),"Valid","Invalid")</f>
        <v>Valid</v>
      </c>
      <c r="C45" s="144"/>
      <c r="D45" s="478"/>
      <c r="E45" s="479"/>
      <c r="F45" s="580"/>
      <c r="G45" s="480"/>
      <c r="H45" s="580"/>
      <c r="I45" s="483"/>
      <c r="J45" s="146"/>
      <c r="K45" s="297"/>
      <c r="L45" s="541"/>
      <c r="M45" s="469"/>
      <c r="N45" s="262"/>
      <c r="O45" s="348" t="s">
        <v>280</v>
      </c>
      <c r="P45" s="349" t="s">
        <v>79</v>
      </c>
      <c r="Q45" s="476"/>
      <c r="R45" s="467"/>
      <c r="S45" s="467"/>
      <c r="T45" s="476"/>
      <c r="U45" s="490" t="str">
        <f>IF(ISERROR(VLOOKUP($T45, 'Reference data'!$J$2:$K$139, 2, FALSE)),"-",VLOOKUP($T45, 'Reference data'!$J$2:$K$139, 2, FALSE))</f>
        <v>-</v>
      </c>
      <c r="V45" s="147"/>
      <c r="W45" s="147"/>
      <c r="X45" s="471"/>
      <c r="Y45" s="472"/>
      <c r="Z45" s="144"/>
      <c r="AA45" s="508"/>
      <c r="AB45" s="163"/>
      <c r="AC45" s="148"/>
      <c r="AD45" s="480"/>
      <c r="AE45" s="348" t="s">
        <v>280</v>
      </c>
      <c r="AF45" s="354" t="s">
        <v>79</v>
      </c>
      <c r="AG45" s="484"/>
    </row>
    <row r="46" spans="2:33" s="434" customFormat="1">
      <c r="B46" s="493" t="str">
        <f>IF(AND(Validator!G40=TRUE,Validator!G290=TRUE,Validator!G540=TRUE,Validator!G790=TRUE,Validator!G1040=TRUE,Validator!G1290=TRUE),"Valid","Invalid")</f>
        <v>Valid</v>
      </c>
      <c r="C46" s="144"/>
      <c r="D46" s="478"/>
      <c r="E46" s="479"/>
      <c r="F46" s="580"/>
      <c r="G46" s="480"/>
      <c r="H46" s="580"/>
      <c r="I46" s="483"/>
      <c r="J46" s="146"/>
      <c r="K46" s="297"/>
      <c r="L46" s="541"/>
      <c r="M46" s="469"/>
      <c r="N46" s="262"/>
      <c r="O46" s="348" t="s">
        <v>280</v>
      </c>
      <c r="P46" s="349" t="s">
        <v>79</v>
      </c>
      <c r="Q46" s="476"/>
      <c r="R46" s="467"/>
      <c r="S46" s="467"/>
      <c r="T46" s="476"/>
      <c r="U46" s="490" t="str">
        <f>IF(ISERROR(VLOOKUP($T46, 'Reference data'!$J$2:$K$139, 2, FALSE)),"-",VLOOKUP($T46, 'Reference data'!$J$2:$K$139, 2, FALSE))</f>
        <v>-</v>
      </c>
      <c r="V46" s="147"/>
      <c r="W46" s="147"/>
      <c r="X46" s="471"/>
      <c r="Y46" s="472"/>
      <c r="Z46" s="144"/>
      <c r="AA46" s="508"/>
      <c r="AB46" s="163"/>
      <c r="AC46" s="148"/>
      <c r="AD46" s="480"/>
      <c r="AE46" s="348" t="s">
        <v>280</v>
      </c>
      <c r="AF46" s="354" t="s">
        <v>79</v>
      </c>
      <c r="AG46" s="484"/>
    </row>
    <row r="47" spans="2:33" s="434" customFormat="1">
      <c r="B47" s="493" t="str">
        <f>IF(AND(Validator!G41=TRUE,Validator!G291=TRUE,Validator!G541=TRUE,Validator!G791=TRUE,Validator!G1041=TRUE,Validator!G1291=TRUE),"Valid","Invalid")</f>
        <v>Valid</v>
      </c>
      <c r="C47" s="144"/>
      <c r="D47" s="478"/>
      <c r="E47" s="479"/>
      <c r="F47" s="580"/>
      <c r="G47" s="480"/>
      <c r="H47" s="580"/>
      <c r="I47" s="483"/>
      <c r="J47" s="146"/>
      <c r="K47" s="297"/>
      <c r="L47" s="541"/>
      <c r="M47" s="469"/>
      <c r="N47" s="262"/>
      <c r="O47" s="348" t="s">
        <v>280</v>
      </c>
      <c r="P47" s="349" t="s">
        <v>79</v>
      </c>
      <c r="Q47" s="476"/>
      <c r="R47" s="467"/>
      <c r="S47" s="467"/>
      <c r="T47" s="476"/>
      <c r="U47" s="490" t="str">
        <f>IF(ISERROR(VLOOKUP($T47, 'Reference data'!$J$2:$K$139, 2, FALSE)),"-",VLOOKUP($T47, 'Reference data'!$J$2:$K$139, 2, FALSE))</f>
        <v>-</v>
      </c>
      <c r="V47" s="147"/>
      <c r="W47" s="147"/>
      <c r="X47" s="471"/>
      <c r="Y47" s="472"/>
      <c r="Z47" s="144"/>
      <c r="AA47" s="508"/>
      <c r="AB47" s="163"/>
      <c r="AC47" s="148"/>
      <c r="AD47" s="480"/>
      <c r="AE47" s="348" t="s">
        <v>280</v>
      </c>
      <c r="AF47" s="354" t="s">
        <v>79</v>
      </c>
      <c r="AG47" s="484"/>
    </row>
    <row r="48" spans="2:33" s="434" customFormat="1">
      <c r="B48" s="493" t="str">
        <f>IF(AND(Validator!G42=TRUE,Validator!G292=TRUE,Validator!G542=TRUE,Validator!G792=TRUE,Validator!G1042=TRUE,Validator!G1292=TRUE),"Valid","Invalid")</f>
        <v>Valid</v>
      </c>
      <c r="C48" s="144"/>
      <c r="D48" s="478"/>
      <c r="E48" s="479"/>
      <c r="F48" s="580"/>
      <c r="G48" s="480"/>
      <c r="H48" s="580"/>
      <c r="I48" s="483"/>
      <c r="J48" s="146"/>
      <c r="K48" s="297"/>
      <c r="L48" s="541"/>
      <c r="M48" s="469"/>
      <c r="N48" s="262"/>
      <c r="O48" s="348" t="s">
        <v>280</v>
      </c>
      <c r="P48" s="349" t="s">
        <v>79</v>
      </c>
      <c r="Q48" s="476"/>
      <c r="R48" s="467"/>
      <c r="S48" s="467"/>
      <c r="T48" s="476"/>
      <c r="U48" s="490" t="str">
        <f>IF(ISERROR(VLOOKUP($T48, 'Reference data'!$J$2:$K$139, 2, FALSE)),"-",VLOOKUP($T48, 'Reference data'!$J$2:$K$139, 2, FALSE))</f>
        <v>-</v>
      </c>
      <c r="V48" s="147"/>
      <c r="W48" s="147"/>
      <c r="X48" s="471"/>
      <c r="Y48" s="472"/>
      <c r="Z48" s="144"/>
      <c r="AA48" s="508"/>
      <c r="AB48" s="163"/>
      <c r="AC48" s="148"/>
      <c r="AD48" s="480"/>
      <c r="AE48" s="348" t="s">
        <v>280</v>
      </c>
      <c r="AF48" s="354" t="s">
        <v>79</v>
      </c>
      <c r="AG48" s="484"/>
    </row>
    <row r="49" spans="2:33" s="434" customFormat="1">
      <c r="B49" s="493" t="str">
        <f>IF(AND(Validator!G43=TRUE,Validator!G293=TRUE,Validator!G543=TRUE,Validator!G793=TRUE,Validator!G1043=TRUE,Validator!G1293=TRUE),"Valid","Invalid")</f>
        <v>Valid</v>
      </c>
      <c r="C49" s="144"/>
      <c r="D49" s="478"/>
      <c r="E49" s="479"/>
      <c r="F49" s="580"/>
      <c r="G49" s="480"/>
      <c r="H49" s="580"/>
      <c r="I49" s="483"/>
      <c r="J49" s="146"/>
      <c r="K49" s="297"/>
      <c r="L49" s="541"/>
      <c r="M49" s="469"/>
      <c r="N49" s="262"/>
      <c r="O49" s="348" t="s">
        <v>280</v>
      </c>
      <c r="P49" s="349" t="s">
        <v>79</v>
      </c>
      <c r="Q49" s="476"/>
      <c r="R49" s="467"/>
      <c r="S49" s="467"/>
      <c r="T49" s="476"/>
      <c r="U49" s="490" t="str">
        <f>IF(ISERROR(VLOOKUP($T49, 'Reference data'!$J$2:$K$139, 2, FALSE)),"-",VLOOKUP($T49, 'Reference data'!$J$2:$K$139, 2, FALSE))</f>
        <v>-</v>
      </c>
      <c r="V49" s="147"/>
      <c r="W49" s="147"/>
      <c r="X49" s="471"/>
      <c r="Y49" s="472"/>
      <c r="Z49" s="144"/>
      <c r="AA49" s="508"/>
      <c r="AB49" s="163"/>
      <c r="AC49" s="148"/>
      <c r="AD49" s="480"/>
      <c r="AE49" s="348" t="s">
        <v>280</v>
      </c>
      <c r="AF49" s="354" t="s">
        <v>79</v>
      </c>
      <c r="AG49" s="484"/>
    </row>
    <row r="50" spans="2:33" s="434" customFormat="1">
      <c r="B50" s="493" t="str">
        <f>IF(AND(Validator!G44=TRUE,Validator!G294=TRUE,Validator!G544=TRUE,Validator!G794=TRUE,Validator!G1044=TRUE,Validator!G1294=TRUE),"Valid","Invalid")</f>
        <v>Valid</v>
      </c>
      <c r="C50" s="144"/>
      <c r="D50" s="478"/>
      <c r="E50" s="479"/>
      <c r="F50" s="580"/>
      <c r="G50" s="480"/>
      <c r="H50" s="580"/>
      <c r="I50" s="483"/>
      <c r="J50" s="146"/>
      <c r="K50" s="297"/>
      <c r="L50" s="541"/>
      <c r="M50" s="469"/>
      <c r="N50" s="262"/>
      <c r="O50" s="348" t="s">
        <v>280</v>
      </c>
      <c r="P50" s="349" t="s">
        <v>79</v>
      </c>
      <c r="Q50" s="476"/>
      <c r="R50" s="467"/>
      <c r="S50" s="467"/>
      <c r="T50" s="476"/>
      <c r="U50" s="490" t="str">
        <f>IF(ISERROR(VLOOKUP($T50, 'Reference data'!$J$2:$K$139, 2, FALSE)),"-",VLOOKUP($T50, 'Reference data'!$J$2:$K$139, 2, FALSE))</f>
        <v>-</v>
      </c>
      <c r="V50" s="147"/>
      <c r="W50" s="147"/>
      <c r="X50" s="471"/>
      <c r="Y50" s="472"/>
      <c r="Z50" s="144"/>
      <c r="AA50" s="508"/>
      <c r="AB50" s="163"/>
      <c r="AC50" s="148"/>
      <c r="AD50" s="480"/>
      <c r="AE50" s="348" t="s">
        <v>280</v>
      </c>
      <c r="AF50" s="354" t="s">
        <v>79</v>
      </c>
      <c r="AG50" s="484"/>
    </row>
    <row r="51" spans="2:33" s="434" customFormat="1">
      <c r="B51" s="493" t="str">
        <f>IF(AND(Validator!G45=TRUE,Validator!G295=TRUE,Validator!G545=TRUE,Validator!G795=TRUE,Validator!G1045=TRUE,Validator!G1295=TRUE),"Valid","Invalid")</f>
        <v>Valid</v>
      </c>
      <c r="C51" s="144"/>
      <c r="D51" s="478"/>
      <c r="E51" s="479"/>
      <c r="F51" s="580"/>
      <c r="G51" s="480"/>
      <c r="H51" s="580"/>
      <c r="I51" s="483"/>
      <c r="J51" s="146"/>
      <c r="K51" s="297"/>
      <c r="L51" s="541"/>
      <c r="M51" s="469"/>
      <c r="N51" s="262"/>
      <c r="O51" s="348" t="s">
        <v>280</v>
      </c>
      <c r="P51" s="349" t="s">
        <v>79</v>
      </c>
      <c r="Q51" s="476"/>
      <c r="R51" s="467"/>
      <c r="S51" s="467"/>
      <c r="T51" s="476"/>
      <c r="U51" s="490" t="str">
        <f>IF(ISERROR(VLOOKUP($T51, 'Reference data'!$J$2:$K$139, 2, FALSE)),"-",VLOOKUP($T51, 'Reference data'!$J$2:$K$139, 2, FALSE))</f>
        <v>-</v>
      </c>
      <c r="V51" s="147"/>
      <c r="W51" s="147"/>
      <c r="X51" s="471"/>
      <c r="Y51" s="472"/>
      <c r="Z51" s="144"/>
      <c r="AA51" s="508"/>
      <c r="AB51" s="163"/>
      <c r="AC51" s="148"/>
      <c r="AD51" s="480"/>
      <c r="AE51" s="348" t="s">
        <v>280</v>
      </c>
      <c r="AF51" s="354" t="s">
        <v>79</v>
      </c>
      <c r="AG51" s="484"/>
    </row>
    <row r="52" spans="2:33" s="434" customFormat="1">
      <c r="B52" s="493" t="str">
        <f>IF(AND(Validator!G46=TRUE,Validator!G296=TRUE,Validator!G546=TRUE,Validator!G796=TRUE,Validator!G1046=TRUE,Validator!G1296=TRUE),"Valid","Invalid")</f>
        <v>Valid</v>
      </c>
      <c r="C52" s="144"/>
      <c r="D52" s="478"/>
      <c r="E52" s="479"/>
      <c r="F52" s="580"/>
      <c r="G52" s="480"/>
      <c r="H52" s="580"/>
      <c r="I52" s="483"/>
      <c r="J52" s="146"/>
      <c r="K52" s="297"/>
      <c r="L52" s="541"/>
      <c r="M52" s="469"/>
      <c r="N52" s="262"/>
      <c r="O52" s="348" t="s">
        <v>280</v>
      </c>
      <c r="P52" s="349" t="s">
        <v>79</v>
      </c>
      <c r="Q52" s="476"/>
      <c r="R52" s="467"/>
      <c r="S52" s="467"/>
      <c r="T52" s="476"/>
      <c r="U52" s="490" t="str">
        <f>IF(ISERROR(VLOOKUP($T52, 'Reference data'!$J$2:$K$139, 2, FALSE)),"-",VLOOKUP($T52, 'Reference data'!$J$2:$K$139, 2, FALSE))</f>
        <v>-</v>
      </c>
      <c r="V52" s="147"/>
      <c r="W52" s="147"/>
      <c r="X52" s="471"/>
      <c r="Y52" s="472"/>
      <c r="Z52" s="144"/>
      <c r="AA52" s="508"/>
      <c r="AB52" s="163"/>
      <c r="AC52" s="148"/>
      <c r="AD52" s="480"/>
      <c r="AE52" s="348" t="s">
        <v>280</v>
      </c>
      <c r="AF52" s="354" t="s">
        <v>79</v>
      </c>
      <c r="AG52" s="484"/>
    </row>
    <row r="53" spans="2:33" s="434" customFormat="1">
      <c r="B53" s="493" t="str">
        <f>IF(AND(Validator!G47=TRUE,Validator!G297=TRUE,Validator!G547=TRUE,Validator!G797=TRUE,Validator!G1047=TRUE,Validator!G1297=TRUE),"Valid","Invalid")</f>
        <v>Valid</v>
      </c>
      <c r="C53" s="144"/>
      <c r="D53" s="478"/>
      <c r="E53" s="479"/>
      <c r="F53" s="580"/>
      <c r="G53" s="480"/>
      <c r="H53" s="580"/>
      <c r="I53" s="483"/>
      <c r="J53" s="146"/>
      <c r="K53" s="297"/>
      <c r="L53" s="541"/>
      <c r="M53" s="469"/>
      <c r="N53" s="262"/>
      <c r="O53" s="348" t="s">
        <v>280</v>
      </c>
      <c r="P53" s="349" t="s">
        <v>79</v>
      </c>
      <c r="Q53" s="476"/>
      <c r="R53" s="467"/>
      <c r="S53" s="467"/>
      <c r="T53" s="476"/>
      <c r="U53" s="490" t="str">
        <f>IF(ISERROR(VLOOKUP($T53, 'Reference data'!$J$2:$K$139, 2, FALSE)),"-",VLOOKUP($T53, 'Reference data'!$J$2:$K$139, 2, FALSE))</f>
        <v>-</v>
      </c>
      <c r="V53" s="147"/>
      <c r="W53" s="147"/>
      <c r="X53" s="471"/>
      <c r="Y53" s="472"/>
      <c r="Z53" s="144"/>
      <c r="AA53" s="508"/>
      <c r="AB53" s="163"/>
      <c r="AC53" s="148"/>
      <c r="AD53" s="480"/>
      <c r="AE53" s="348" t="s">
        <v>280</v>
      </c>
      <c r="AF53" s="354" t="s">
        <v>79</v>
      </c>
      <c r="AG53" s="484"/>
    </row>
    <row r="54" spans="2:33" s="434" customFormat="1">
      <c r="B54" s="493" t="str">
        <f>IF(AND(Validator!G48=TRUE,Validator!G298=TRUE,Validator!G548=TRUE,Validator!G798=TRUE,Validator!G1048=TRUE,Validator!G1298=TRUE),"Valid","Invalid")</f>
        <v>Valid</v>
      </c>
      <c r="C54" s="144"/>
      <c r="D54" s="478"/>
      <c r="E54" s="479"/>
      <c r="F54" s="580"/>
      <c r="G54" s="480"/>
      <c r="H54" s="580"/>
      <c r="I54" s="483"/>
      <c r="J54" s="146"/>
      <c r="K54" s="297"/>
      <c r="L54" s="541"/>
      <c r="M54" s="469"/>
      <c r="N54" s="262"/>
      <c r="O54" s="348" t="s">
        <v>280</v>
      </c>
      <c r="P54" s="349" t="s">
        <v>79</v>
      </c>
      <c r="Q54" s="476"/>
      <c r="R54" s="467"/>
      <c r="S54" s="467"/>
      <c r="T54" s="476"/>
      <c r="U54" s="490" t="str">
        <f>IF(ISERROR(VLOOKUP($T54, 'Reference data'!$J$2:$K$139, 2, FALSE)),"-",VLOOKUP($T54, 'Reference data'!$J$2:$K$139, 2, FALSE))</f>
        <v>-</v>
      </c>
      <c r="V54" s="147"/>
      <c r="W54" s="147"/>
      <c r="X54" s="471"/>
      <c r="Y54" s="472"/>
      <c r="Z54" s="144"/>
      <c r="AA54" s="508"/>
      <c r="AB54" s="163"/>
      <c r="AC54" s="148"/>
      <c r="AD54" s="480"/>
      <c r="AE54" s="348" t="s">
        <v>280</v>
      </c>
      <c r="AF54" s="354" t="s">
        <v>79</v>
      </c>
      <c r="AG54" s="484"/>
    </row>
    <row r="55" spans="2:33" s="434" customFormat="1">
      <c r="B55" s="493" t="str">
        <f>IF(AND(Validator!G49=TRUE,Validator!G299=TRUE,Validator!G549=TRUE,Validator!G799=TRUE,Validator!G1049=TRUE,Validator!G1299=TRUE),"Valid","Invalid")</f>
        <v>Valid</v>
      </c>
      <c r="C55" s="144"/>
      <c r="D55" s="478"/>
      <c r="E55" s="479"/>
      <c r="F55" s="580"/>
      <c r="G55" s="480"/>
      <c r="H55" s="580"/>
      <c r="I55" s="483"/>
      <c r="J55" s="146"/>
      <c r="K55" s="297"/>
      <c r="L55" s="541"/>
      <c r="M55" s="469"/>
      <c r="N55" s="262"/>
      <c r="O55" s="348" t="s">
        <v>280</v>
      </c>
      <c r="P55" s="349" t="s">
        <v>79</v>
      </c>
      <c r="Q55" s="476"/>
      <c r="R55" s="467"/>
      <c r="S55" s="467"/>
      <c r="T55" s="476"/>
      <c r="U55" s="490" t="str">
        <f>IF(ISERROR(VLOOKUP($T55, 'Reference data'!$J$2:$K$139, 2, FALSE)),"-",VLOOKUP($T55, 'Reference data'!$J$2:$K$139, 2, FALSE))</f>
        <v>-</v>
      </c>
      <c r="V55" s="147"/>
      <c r="W55" s="147"/>
      <c r="X55" s="471"/>
      <c r="Y55" s="472"/>
      <c r="Z55" s="144"/>
      <c r="AA55" s="508"/>
      <c r="AB55" s="163"/>
      <c r="AC55" s="148"/>
      <c r="AD55" s="480"/>
      <c r="AE55" s="348" t="s">
        <v>280</v>
      </c>
      <c r="AF55" s="354" t="s">
        <v>79</v>
      </c>
      <c r="AG55" s="484"/>
    </row>
    <row r="56" spans="2:33" s="434" customFormat="1">
      <c r="B56" s="493" t="str">
        <f>IF(AND(Validator!G50=TRUE,Validator!G300=TRUE,Validator!G550=TRUE,Validator!G800=TRUE,Validator!G1050=TRUE,Validator!G1300=TRUE),"Valid","Invalid")</f>
        <v>Valid</v>
      </c>
      <c r="C56" s="144"/>
      <c r="D56" s="478"/>
      <c r="E56" s="479"/>
      <c r="F56" s="580"/>
      <c r="G56" s="480"/>
      <c r="H56" s="580"/>
      <c r="I56" s="483"/>
      <c r="J56" s="146"/>
      <c r="K56" s="297"/>
      <c r="L56" s="541"/>
      <c r="M56" s="469"/>
      <c r="N56" s="262"/>
      <c r="O56" s="348" t="s">
        <v>280</v>
      </c>
      <c r="P56" s="349" t="s">
        <v>79</v>
      </c>
      <c r="Q56" s="476"/>
      <c r="R56" s="467"/>
      <c r="S56" s="467"/>
      <c r="T56" s="476"/>
      <c r="U56" s="490" t="str">
        <f>IF(ISERROR(VLOOKUP($T56, 'Reference data'!$J$2:$K$139, 2, FALSE)),"-",VLOOKUP($T56, 'Reference data'!$J$2:$K$139, 2, FALSE))</f>
        <v>-</v>
      </c>
      <c r="V56" s="147"/>
      <c r="W56" s="147"/>
      <c r="X56" s="471"/>
      <c r="Y56" s="472"/>
      <c r="Z56" s="144"/>
      <c r="AA56" s="508"/>
      <c r="AB56" s="163"/>
      <c r="AC56" s="148"/>
      <c r="AD56" s="480"/>
      <c r="AE56" s="348" t="s">
        <v>280</v>
      </c>
      <c r="AF56" s="354" t="s">
        <v>79</v>
      </c>
      <c r="AG56" s="484"/>
    </row>
    <row r="57" spans="2:33" s="434" customFormat="1">
      <c r="B57" s="493" t="str">
        <f>IF(AND(Validator!G51=TRUE,Validator!G301=TRUE,Validator!G551=TRUE,Validator!G801=TRUE,Validator!G1051=TRUE,Validator!G1301=TRUE),"Valid","Invalid")</f>
        <v>Valid</v>
      </c>
      <c r="C57" s="144"/>
      <c r="D57" s="478"/>
      <c r="E57" s="479"/>
      <c r="F57" s="580"/>
      <c r="G57" s="480"/>
      <c r="H57" s="580"/>
      <c r="I57" s="483"/>
      <c r="J57" s="146"/>
      <c r="K57" s="297"/>
      <c r="L57" s="541"/>
      <c r="M57" s="469"/>
      <c r="N57" s="262"/>
      <c r="O57" s="348" t="s">
        <v>280</v>
      </c>
      <c r="P57" s="349" t="s">
        <v>79</v>
      </c>
      <c r="Q57" s="476"/>
      <c r="R57" s="467"/>
      <c r="S57" s="467"/>
      <c r="T57" s="476"/>
      <c r="U57" s="490" t="str">
        <f>IF(ISERROR(VLOOKUP($T57, 'Reference data'!$J$2:$K$139, 2, FALSE)),"-",VLOOKUP($T57, 'Reference data'!$J$2:$K$139, 2, FALSE))</f>
        <v>-</v>
      </c>
      <c r="V57" s="147"/>
      <c r="W57" s="147"/>
      <c r="X57" s="471"/>
      <c r="Y57" s="472"/>
      <c r="Z57" s="144"/>
      <c r="AA57" s="508"/>
      <c r="AB57" s="163"/>
      <c r="AC57" s="148"/>
      <c r="AD57" s="480"/>
      <c r="AE57" s="348" t="s">
        <v>280</v>
      </c>
      <c r="AF57" s="354" t="s">
        <v>79</v>
      </c>
      <c r="AG57" s="484"/>
    </row>
    <row r="58" spans="2:33" s="434" customFormat="1">
      <c r="B58" s="493" t="str">
        <f>IF(AND(Validator!G52=TRUE,Validator!G302=TRUE,Validator!G552=TRUE,Validator!G802=TRUE,Validator!G1052=TRUE,Validator!G1302=TRUE),"Valid","Invalid")</f>
        <v>Valid</v>
      </c>
      <c r="C58" s="144"/>
      <c r="D58" s="478"/>
      <c r="E58" s="479"/>
      <c r="F58" s="580"/>
      <c r="G58" s="480"/>
      <c r="H58" s="580"/>
      <c r="I58" s="483"/>
      <c r="J58" s="146"/>
      <c r="K58" s="297"/>
      <c r="L58" s="541"/>
      <c r="M58" s="469"/>
      <c r="N58" s="262"/>
      <c r="O58" s="348" t="s">
        <v>280</v>
      </c>
      <c r="P58" s="349" t="s">
        <v>79</v>
      </c>
      <c r="Q58" s="476"/>
      <c r="R58" s="467"/>
      <c r="S58" s="467"/>
      <c r="T58" s="476"/>
      <c r="U58" s="490" t="str">
        <f>IF(ISERROR(VLOOKUP($T58, 'Reference data'!$J$2:$K$139, 2, FALSE)),"-",VLOOKUP($T58, 'Reference data'!$J$2:$K$139, 2, FALSE))</f>
        <v>-</v>
      </c>
      <c r="V58" s="147"/>
      <c r="W58" s="147"/>
      <c r="X58" s="471"/>
      <c r="Y58" s="472"/>
      <c r="Z58" s="144"/>
      <c r="AA58" s="508"/>
      <c r="AB58" s="163"/>
      <c r="AC58" s="148"/>
      <c r="AD58" s="480"/>
      <c r="AE58" s="348" t="s">
        <v>280</v>
      </c>
      <c r="AF58" s="354" t="s">
        <v>79</v>
      </c>
      <c r="AG58" s="484"/>
    </row>
    <row r="59" spans="2:33" s="434" customFormat="1">
      <c r="B59" s="493" t="str">
        <f>IF(AND(Validator!G53=TRUE,Validator!G303=TRUE,Validator!G553=TRUE,Validator!G803=TRUE,Validator!G1053=TRUE,Validator!G1303=TRUE),"Valid","Invalid")</f>
        <v>Valid</v>
      </c>
      <c r="C59" s="144"/>
      <c r="D59" s="478"/>
      <c r="E59" s="479"/>
      <c r="F59" s="580"/>
      <c r="G59" s="480"/>
      <c r="H59" s="580"/>
      <c r="I59" s="483"/>
      <c r="J59" s="146"/>
      <c r="K59" s="297"/>
      <c r="L59" s="541"/>
      <c r="M59" s="469"/>
      <c r="N59" s="262"/>
      <c r="O59" s="348" t="s">
        <v>280</v>
      </c>
      <c r="P59" s="349" t="s">
        <v>79</v>
      </c>
      <c r="Q59" s="476"/>
      <c r="R59" s="467"/>
      <c r="S59" s="467"/>
      <c r="T59" s="476"/>
      <c r="U59" s="490" t="str">
        <f>IF(ISERROR(VLOOKUP($T59, 'Reference data'!$J$2:$K$139, 2, FALSE)),"-",VLOOKUP($T59, 'Reference data'!$J$2:$K$139, 2, FALSE))</f>
        <v>-</v>
      </c>
      <c r="V59" s="147"/>
      <c r="W59" s="147"/>
      <c r="X59" s="471"/>
      <c r="Y59" s="472"/>
      <c r="Z59" s="144"/>
      <c r="AA59" s="508"/>
      <c r="AB59" s="163"/>
      <c r="AC59" s="148"/>
      <c r="AD59" s="480"/>
      <c r="AE59" s="348" t="s">
        <v>280</v>
      </c>
      <c r="AF59" s="354" t="s">
        <v>79</v>
      </c>
      <c r="AG59" s="484"/>
    </row>
    <row r="60" spans="2:33" s="434" customFormat="1">
      <c r="B60" s="493" t="str">
        <f>IF(AND(Validator!G54=TRUE,Validator!G304=TRUE,Validator!G554=TRUE,Validator!G804=TRUE,Validator!G1054=TRUE,Validator!G1304=TRUE),"Valid","Invalid")</f>
        <v>Valid</v>
      </c>
      <c r="C60" s="144"/>
      <c r="D60" s="478"/>
      <c r="E60" s="479"/>
      <c r="F60" s="580"/>
      <c r="G60" s="480"/>
      <c r="H60" s="580"/>
      <c r="I60" s="483"/>
      <c r="J60" s="146"/>
      <c r="K60" s="297"/>
      <c r="L60" s="541"/>
      <c r="M60" s="469"/>
      <c r="N60" s="262"/>
      <c r="O60" s="348" t="s">
        <v>280</v>
      </c>
      <c r="P60" s="349" t="s">
        <v>79</v>
      </c>
      <c r="Q60" s="476"/>
      <c r="R60" s="467"/>
      <c r="S60" s="467"/>
      <c r="T60" s="476"/>
      <c r="U60" s="490" t="str">
        <f>IF(ISERROR(VLOOKUP($T60, 'Reference data'!$J$2:$K$139, 2, FALSE)),"-",VLOOKUP($T60, 'Reference data'!$J$2:$K$139, 2, FALSE))</f>
        <v>-</v>
      </c>
      <c r="V60" s="147"/>
      <c r="W60" s="147"/>
      <c r="X60" s="471"/>
      <c r="Y60" s="472"/>
      <c r="Z60" s="144"/>
      <c r="AA60" s="508"/>
      <c r="AB60" s="163"/>
      <c r="AC60" s="148"/>
      <c r="AD60" s="480"/>
      <c r="AE60" s="348" t="s">
        <v>280</v>
      </c>
      <c r="AF60" s="354" t="s">
        <v>79</v>
      </c>
      <c r="AG60" s="484"/>
    </row>
    <row r="61" spans="2:33" s="434" customFormat="1">
      <c r="B61" s="493" t="str">
        <f>IF(AND(Validator!G55=TRUE,Validator!G305=TRUE,Validator!G555=TRUE,Validator!G805=TRUE,Validator!G1055=TRUE,Validator!G1305=TRUE),"Valid","Invalid")</f>
        <v>Valid</v>
      </c>
      <c r="C61" s="144"/>
      <c r="D61" s="478"/>
      <c r="E61" s="479"/>
      <c r="F61" s="580"/>
      <c r="G61" s="480"/>
      <c r="H61" s="580"/>
      <c r="I61" s="483"/>
      <c r="J61" s="146"/>
      <c r="K61" s="297"/>
      <c r="L61" s="541"/>
      <c r="M61" s="469"/>
      <c r="N61" s="262"/>
      <c r="O61" s="348" t="s">
        <v>280</v>
      </c>
      <c r="P61" s="349" t="s">
        <v>79</v>
      </c>
      <c r="Q61" s="476"/>
      <c r="R61" s="467"/>
      <c r="S61" s="467"/>
      <c r="T61" s="476"/>
      <c r="U61" s="490" t="str">
        <f>IF(ISERROR(VLOOKUP($T61, 'Reference data'!$J$2:$K$139, 2, FALSE)),"-",VLOOKUP($T61, 'Reference data'!$J$2:$K$139, 2, FALSE))</f>
        <v>-</v>
      </c>
      <c r="V61" s="147"/>
      <c r="W61" s="147"/>
      <c r="X61" s="471"/>
      <c r="Y61" s="472"/>
      <c r="Z61" s="144"/>
      <c r="AA61" s="508"/>
      <c r="AB61" s="163"/>
      <c r="AC61" s="148"/>
      <c r="AD61" s="480"/>
      <c r="AE61" s="348" t="s">
        <v>280</v>
      </c>
      <c r="AF61" s="354" t="s">
        <v>79</v>
      </c>
      <c r="AG61" s="484"/>
    </row>
    <row r="62" spans="2:33" s="434" customFormat="1">
      <c r="B62" s="493" t="str">
        <f>IF(AND(Validator!G56=TRUE,Validator!G306=TRUE,Validator!G556=TRUE,Validator!G806=TRUE,Validator!G1056=TRUE,Validator!G1306=TRUE),"Valid","Invalid")</f>
        <v>Valid</v>
      </c>
      <c r="C62" s="144"/>
      <c r="D62" s="478"/>
      <c r="E62" s="479"/>
      <c r="F62" s="580"/>
      <c r="G62" s="480"/>
      <c r="H62" s="580"/>
      <c r="I62" s="483"/>
      <c r="J62" s="146"/>
      <c r="K62" s="297"/>
      <c r="L62" s="541"/>
      <c r="M62" s="469"/>
      <c r="N62" s="262"/>
      <c r="O62" s="348" t="s">
        <v>280</v>
      </c>
      <c r="P62" s="349" t="s">
        <v>79</v>
      </c>
      <c r="Q62" s="476"/>
      <c r="R62" s="467"/>
      <c r="S62" s="467"/>
      <c r="T62" s="476"/>
      <c r="U62" s="490" t="str">
        <f>IF(ISERROR(VLOOKUP($T62, 'Reference data'!$J$2:$K$139, 2, FALSE)),"-",VLOOKUP($T62, 'Reference data'!$J$2:$K$139, 2, FALSE))</f>
        <v>-</v>
      </c>
      <c r="V62" s="147"/>
      <c r="W62" s="147"/>
      <c r="X62" s="471"/>
      <c r="Y62" s="472"/>
      <c r="Z62" s="144"/>
      <c r="AA62" s="508"/>
      <c r="AB62" s="163"/>
      <c r="AC62" s="148"/>
      <c r="AD62" s="480"/>
      <c r="AE62" s="348" t="s">
        <v>280</v>
      </c>
      <c r="AF62" s="354" t="s">
        <v>79</v>
      </c>
      <c r="AG62" s="484"/>
    </row>
    <row r="63" spans="2:33" s="434" customFormat="1">
      <c r="B63" s="493" t="str">
        <f>IF(AND(Validator!G57=TRUE,Validator!G307=TRUE,Validator!G557=TRUE,Validator!G807=TRUE,Validator!G1057=TRUE,Validator!G1307=TRUE),"Valid","Invalid")</f>
        <v>Valid</v>
      </c>
      <c r="C63" s="144"/>
      <c r="D63" s="478"/>
      <c r="E63" s="479"/>
      <c r="F63" s="580"/>
      <c r="G63" s="480"/>
      <c r="H63" s="580"/>
      <c r="I63" s="483"/>
      <c r="J63" s="146"/>
      <c r="K63" s="297"/>
      <c r="L63" s="541"/>
      <c r="M63" s="469"/>
      <c r="N63" s="262"/>
      <c r="O63" s="348" t="s">
        <v>280</v>
      </c>
      <c r="P63" s="349" t="s">
        <v>79</v>
      </c>
      <c r="Q63" s="476"/>
      <c r="R63" s="467"/>
      <c r="S63" s="467"/>
      <c r="T63" s="476"/>
      <c r="U63" s="490" t="str">
        <f>IF(ISERROR(VLOOKUP($T63, 'Reference data'!$J$2:$K$139, 2, FALSE)),"-",VLOOKUP($T63, 'Reference data'!$J$2:$K$139, 2, FALSE))</f>
        <v>-</v>
      </c>
      <c r="V63" s="147"/>
      <c r="W63" s="147"/>
      <c r="X63" s="471"/>
      <c r="Y63" s="472"/>
      <c r="Z63" s="144"/>
      <c r="AA63" s="508"/>
      <c r="AB63" s="163"/>
      <c r="AC63" s="148"/>
      <c r="AD63" s="480"/>
      <c r="AE63" s="348" t="s">
        <v>280</v>
      </c>
      <c r="AF63" s="354" t="s">
        <v>79</v>
      </c>
      <c r="AG63" s="484"/>
    </row>
    <row r="64" spans="2:33" s="434" customFormat="1">
      <c r="B64" s="493" t="str">
        <f>IF(AND(Validator!G58=TRUE,Validator!G308=TRUE,Validator!G558=TRUE,Validator!G808=TRUE,Validator!G1058=TRUE,Validator!G1308=TRUE),"Valid","Invalid")</f>
        <v>Valid</v>
      </c>
      <c r="C64" s="144"/>
      <c r="D64" s="478"/>
      <c r="E64" s="479"/>
      <c r="F64" s="580"/>
      <c r="G64" s="480"/>
      <c r="H64" s="580"/>
      <c r="I64" s="483"/>
      <c r="J64" s="146"/>
      <c r="K64" s="297"/>
      <c r="L64" s="541"/>
      <c r="M64" s="469"/>
      <c r="N64" s="262"/>
      <c r="O64" s="348" t="s">
        <v>280</v>
      </c>
      <c r="P64" s="349" t="s">
        <v>79</v>
      </c>
      <c r="Q64" s="476"/>
      <c r="R64" s="467"/>
      <c r="S64" s="467"/>
      <c r="T64" s="476"/>
      <c r="U64" s="490" t="str">
        <f>IF(ISERROR(VLOOKUP($T64, 'Reference data'!$J$2:$K$139, 2, FALSE)),"-",VLOOKUP($T64, 'Reference data'!$J$2:$K$139, 2, FALSE))</f>
        <v>-</v>
      </c>
      <c r="V64" s="147"/>
      <c r="W64" s="147"/>
      <c r="X64" s="471"/>
      <c r="Y64" s="472"/>
      <c r="Z64" s="144"/>
      <c r="AA64" s="508"/>
      <c r="AB64" s="163"/>
      <c r="AC64" s="148"/>
      <c r="AD64" s="480"/>
      <c r="AE64" s="348" t="s">
        <v>280</v>
      </c>
      <c r="AF64" s="354" t="s">
        <v>79</v>
      </c>
      <c r="AG64" s="484"/>
    </row>
    <row r="65" spans="2:33" s="434" customFormat="1">
      <c r="B65" s="493" t="str">
        <f>IF(AND(Validator!G59=TRUE,Validator!G309=TRUE,Validator!G559=TRUE,Validator!G809=TRUE,Validator!G1059=TRUE,Validator!G1309=TRUE),"Valid","Invalid")</f>
        <v>Valid</v>
      </c>
      <c r="C65" s="144"/>
      <c r="D65" s="478"/>
      <c r="E65" s="479"/>
      <c r="F65" s="580"/>
      <c r="G65" s="480"/>
      <c r="H65" s="580"/>
      <c r="I65" s="483"/>
      <c r="J65" s="146"/>
      <c r="K65" s="297"/>
      <c r="L65" s="541"/>
      <c r="M65" s="469"/>
      <c r="N65" s="262"/>
      <c r="O65" s="348" t="s">
        <v>280</v>
      </c>
      <c r="P65" s="349" t="s">
        <v>79</v>
      </c>
      <c r="Q65" s="476"/>
      <c r="R65" s="467"/>
      <c r="S65" s="467"/>
      <c r="T65" s="476"/>
      <c r="U65" s="490" t="str">
        <f>IF(ISERROR(VLOOKUP($T65, 'Reference data'!$J$2:$K$139, 2, FALSE)),"-",VLOOKUP($T65, 'Reference data'!$J$2:$K$139, 2, FALSE))</f>
        <v>-</v>
      </c>
      <c r="V65" s="147"/>
      <c r="W65" s="147"/>
      <c r="X65" s="471"/>
      <c r="Y65" s="472"/>
      <c r="Z65" s="144"/>
      <c r="AA65" s="508"/>
      <c r="AB65" s="163"/>
      <c r="AC65" s="148"/>
      <c r="AD65" s="480"/>
      <c r="AE65" s="348" t="s">
        <v>280</v>
      </c>
      <c r="AF65" s="354" t="s">
        <v>79</v>
      </c>
      <c r="AG65" s="484"/>
    </row>
    <row r="66" spans="2:33" s="434" customFormat="1">
      <c r="B66" s="493" t="str">
        <f>IF(AND(Validator!G60=TRUE,Validator!G310=TRUE,Validator!G560=TRUE,Validator!G810=TRUE,Validator!G1060=TRUE,Validator!G1310=TRUE),"Valid","Invalid")</f>
        <v>Valid</v>
      </c>
      <c r="C66" s="144"/>
      <c r="D66" s="478"/>
      <c r="E66" s="479"/>
      <c r="F66" s="580"/>
      <c r="G66" s="480"/>
      <c r="H66" s="580"/>
      <c r="I66" s="483"/>
      <c r="J66" s="146"/>
      <c r="K66" s="297"/>
      <c r="L66" s="541"/>
      <c r="M66" s="469"/>
      <c r="N66" s="262"/>
      <c r="O66" s="348" t="s">
        <v>280</v>
      </c>
      <c r="P66" s="349" t="s">
        <v>79</v>
      </c>
      <c r="Q66" s="476"/>
      <c r="R66" s="467"/>
      <c r="S66" s="467"/>
      <c r="T66" s="476"/>
      <c r="U66" s="490" t="str">
        <f>IF(ISERROR(VLOOKUP($T66, 'Reference data'!$J$2:$K$139, 2, FALSE)),"-",VLOOKUP($T66, 'Reference data'!$J$2:$K$139, 2, FALSE))</f>
        <v>-</v>
      </c>
      <c r="V66" s="147"/>
      <c r="W66" s="147"/>
      <c r="X66" s="471"/>
      <c r="Y66" s="472"/>
      <c r="Z66" s="144"/>
      <c r="AA66" s="508"/>
      <c r="AB66" s="163"/>
      <c r="AC66" s="148"/>
      <c r="AD66" s="480"/>
      <c r="AE66" s="348" t="s">
        <v>280</v>
      </c>
      <c r="AF66" s="354" t="s">
        <v>79</v>
      </c>
      <c r="AG66" s="484"/>
    </row>
    <row r="67" spans="2:33" s="434" customFormat="1">
      <c r="B67" s="493" t="str">
        <f>IF(AND(Validator!G61=TRUE,Validator!G311=TRUE,Validator!G561=TRUE,Validator!G811=TRUE,Validator!G1061=TRUE,Validator!G1311=TRUE),"Valid","Invalid")</f>
        <v>Valid</v>
      </c>
      <c r="C67" s="144"/>
      <c r="D67" s="478"/>
      <c r="E67" s="479"/>
      <c r="F67" s="580"/>
      <c r="G67" s="480"/>
      <c r="H67" s="580"/>
      <c r="I67" s="483"/>
      <c r="J67" s="146"/>
      <c r="K67" s="297"/>
      <c r="L67" s="541"/>
      <c r="M67" s="469"/>
      <c r="N67" s="262"/>
      <c r="O67" s="348" t="s">
        <v>280</v>
      </c>
      <c r="P67" s="349" t="s">
        <v>79</v>
      </c>
      <c r="Q67" s="476"/>
      <c r="R67" s="467"/>
      <c r="S67" s="467"/>
      <c r="T67" s="476"/>
      <c r="U67" s="490" t="str">
        <f>IF(ISERROR(VLOOKUP($T67, 'Reference data'!$J$2:$K$139, 2, FALSE)),"-",VLOOKUP($T67, 'Reference data'!$J$2:$K$139, 2, FALSE))</f>
        <v>-</v>
      </c>
      <c r="V67" s="147"/>
      <c r="W67" s="147"/>
      <c r="X67" s="471"/>
      <c r="Y67" s="472"/>
      <c r="Z67" s="144"/>
      <c r="AA67" s="508"/>
      <c r="AB67" s="163"/>
      <c r="AC67" s="148"/>
      <c r="AD67" s="480"/>
      <c r="AE67" s="348" t="s">
        <v>280</v>
      </c>
      <c r="AF67" s="354" t="s">
        <v>79</v>
      </c>
      <c r="AG67" s="484"/>
    </row>
    <row r="68" spans="2:33" s="434" customFormat="1">
      <c r="B68" s="493" t="str">
        <f>IF(AND(Validator!G62=TRUE,Validator!G312=TRUE,Validator!G562=TRUE,Validator!G812=TRUE,Validator!G1062=TRUE,Validator!G1312=TRUE),"Valid","Invalid")</f>
        <v>Valid</v>
      </c>
      <c r="C68" s="144"/>
      <c r="D68" s="478"/>
      <c r="E68" s="479"/>
      <c r="F68" s="580"/>
      <c r="G68" s="480"/>
      <c r="H68" s="580"/>
      <c r="I68" s="483"/>
      <c r="J68" s="146"/>
      <c r="K68" s="297"/>
      <c r="L68" s="541"/>
      <c r="M68" s="469"/>
      <c r="N68" s="262"/>
      <c r="O68" s="348" t="s">
        <v>280</v>
      </c>
      <c r="P68" s="349" t="s">
        <v>79</v>
      </c>
      <c r="Q68" s="476"/>
      <c r="R68" s="467"/>
      <c r="S68" s="467"/>
      <c r="T68" s="476"/>
      <c r="U68" s="490" t="str">
        <f>IF(ISERROR(VLOOKUP($T68, 'Reference data'!$J$2:$K$139, 2, FALSE)),"-",VLOOKUP($T68, 'Reference data'!$J$2:$K$139, 2, FALSE))</f>
        <v>-</v>
      </c>
      <c r="V68" s="147"/>
      <c r="W68" s="147"/>
      <c r="X68" s="471"/>
      <c r="Y68" s="472"/>
      <c r="Z68" s="144"/>
      <c r="AA68" s="508"/>
      <c r="AB68" s="163"/>
      <c r="AC68" s="148"/>
      <c r="AD68" s="480"/>
      <c r="AE68" s="348" t="s">
        <v>280</v>
      </c>
      <c r="AF68" s="354" t="s">
        <v>79</v>
      </c>
      <c r="AG68" s="484"/>
    </row>
    <row r="69" spans="2:33" s="434" customFormat="1">
      <c r="B69" s="493" t="str">
        <f>IF(AND(Validator!G63=TRUE,Validator!G313=TRUE,Validator!G563=TRUE,Validator!G813=TRUE,Validator!G1063=TRUE,Validator!G1313=TRUE),"Valid","Invalid")</f>
        <v>Valid</v>
      </c>
      <c r="C69" s="144"/>
      <c r="D69" s="478"/>
      <c r="E69" s="479"/>
      <c r="F69" s="580"/>
      <c r="G69" s="480"/>
      <c r="H69" s="580"/>
      <c r="I69" s="483"/>
      <c r="J69" s="146"/>
      <c r="K69" s="297"/>
      <c r="L69" s="541"/>
      <c r="M69" s="469"/>
      <c r="N69" s="262"/>
      <c r="O69" s="348" t="s">
        <v>280</v>
      </c>
      <c r="P69" s="349" t="s">
        <v>79</v>
      </c>
      <c r="Q69" s="476"/>
      <c r="R69" s="467"/>
      <c r="S69" s="467"/>
      <c r="T69" s="476"/>
      <c r="U69" s="490" t="str">
        <f>IF(ISERROR(VLOOKUP($T69, 'Reference data'!$J$2:$K$139, 2, FALSE)),"-",VLOOKUP($T69, 'Reference data'!$J$2:$K$139, 2, FALSE))</f>
        <v>-</v>
      </c>
      <c r="V69" s="147"/>
      <c r="W69" s="147"/>
      <c r="X69" s="471"/>
      <c r="Y69" s="472"/>
      <c r="Z69" s="144"/>
      <c r="AA69" s="508"/>
      <c r="AB69" s="163"/>
      <c r="AC69" s="148"/>
      <c r="AD69" s="480"/>
      <c r="AE69" s="348" t="s">
        <v>280</v>
      </c>
      <c r="AF69" s="354" t="s">
        <v>79</v>
      </c>
      <c r="AG69" s="484"/>
    </row>
    <row r="70" spans="2:33" s="434" customFormat="1">
      <c r="B70" s="493" t="str">
        <f>IF(AND(Validator!G64=TRUE,Validator!G314=TRUE,Validator!G564=TRUE,Validator!G814=TRUE,Validator!G1064=TRUE,Validator!G1314=TRUE),"Valid","Invalid")</f>
        <v>Valid</v>
      </c>
      <c r="C70" s="144"/>
      <c r="D70" s="478"/>
      <c r="E70" s="479"/>
      <c r="F70" s="580"/>
      <c r="G70" s="480"/>
      <c r="H70" s="580"/>
      <c r="I70" s="483"/>
      <c r="J70" s="146"/>
      <c r="K70" s="297"/>
      <c r="L70" s="541"/>
      <c r="M70" s="469"/>
      <c r="N70" s="262"/>
      <c r="O70" s="348" t="s">
        <v>280</v>
      </c>
      <c r="P70" s="349" t="s">
        <v>79</v>
      </c>
      <c r="Q70" s="476"/>
      <c r="R70" s="467"/>
      <c r="S70" s="467"/>
      <c r="T70" s="476"/>
      <c r="U70" s="490" t="str">
        <f>IF(ISERROR(VLOOKUP($T70, 'Reference data'!$J$2:$K$139, 2, FALSE)),"-",VLOOKUP($T70, 'Reference data'!$J$2:$K$139, 2, FALSE))</f>
        <v>-</v>
      </c>
      <c r="V70" s="147"/>
      <c r="W70" s="147"/>
      <c r="X70" s="471"/>
      <c r="Y70" s="472"/>
      <c r="Z70" s="144"/>
      <c r="AA70" s="508"/>
      <c r="AB70" s="163"/>
      <c r="AC70" s="148"/>
      <c r="AD70" s="480"/>
      <c r="AE70" s="348" t="s">
        <v>280</v>
      </c>
      <c r="AF70" s="354" t="s">
        <v>79</v>
      </c>
      <c r="AG70" s="484"/>
    </row>
    <row r="71" spans="2:33" s="434" customFormat="1">
      <c r="B71" s="493" t="str">
        <f>IF(AND(Validator!G65=TRUE,Validator!G315=TRUE,Validator!G565=TRUE,Validator!G815=TRUE,Validator!G1065=TRUE,Validator!G1315=TRUE),"Valid","Invalid")</f>
        <v>Valid</v>
      </c>
      <c r="C71" s="144"/>
      <c r="D71" s="478"/>
      <c r="E71" s="479"/>
      <c r="F71" s="580"/>
      <c r="G71" s="480"/>
      <c r="H71" s="580"/>
      <c r="I71" s="483"/>
      <c r="J71" s="146"/>
      <c r="K71" s="297"/>
      <c r="L71" s="541"/>
      <c r="M71" s="469"/>
      <c r="N71" s="262"/>
      <c r="O71" s="348" t="s">
        <v>280</v>
      </c>
      <c r="P71" s="349" t="s">
        <v>79</v>
      </c>
      <c r="Q71" s="476"/>
      <c r="R71" s="467"/>
      <c r="S71" s="467"/>
      <c r="T71" s="476"/>
      <c r="U71" s="490" t="str">
        <f>IF(ISERROR(VLOOKUP($T71, 'Reference data'!$J$2:$K$139, 2, FALSE)),"-",VLOOKUP($T71, 'Reference data'!$J$2:$K$139, 2, FALSE))</f>
        <v>-</v>
      </c>
      <c r="V71" s="147"/>
      <c r="W71" s="147"/>
      <c r="X71" s="471"/>
      <c r="Y71" s="472"/>
      <c r="Z71" s="144"/>
      <c r="AA71" s="508"/>
      <c r="AB71" s="163"/>
      <c r="AC71" s="148"/>
      <c r="AD71" s="480"/>
      <c r="AE71" s="348" t="s">
        <v>280</v>
      </c>
      <c r="AF71" s="354" t="s">
        <v>79</v>
      </c>
      <c r="AG71" s="484"/>
    </row>
    <row r="72" spans="2:33" s="434" customFormat="1">
      <c r="B72" s="493" t="str">
        <f>IF(AND(Validator!G66=TRUE,Validator!G316=TRUE,Validator!G566=TRUE,Validator!G816=TRUE,Validator!G1066=TRUE,Validator!G1316=TRUE),"Valid","Invalid")</f>
        <v>Valid</v>
      </c>
      <c r="C72" s="144"/>
      <c r="D72" s="478"/>
      <c r="E72" s="479"/>
      <c r="F72" s="580"/>
      <c r="G72" s="480"/>
      <c r="H72" s="580"/>
      <c r="I72" s="483"/>
      <c r="J72" s="146"/>
      <c r="K72" s="297"/>
      <c r="L72" s="541"/>
      <c r="M72" s="469"/>
      <c r="N72" s="262"/>
      <c r="O72" s="348" t="s">
        <v>280</v>
      </c>
      <c r="P72" s="349" t="s">
        <v>79</v>
      </c>
      <c r="Q72" s="476"/>
      <c r="R72" s="467"/>
      <c r="S72" s="467"/>
      <c r="T72" s="476"/>
      <c r="U72" s="490" t="str">
        <f>IF(ISERROR(VLOOKUP($T72, 'Reference data'!$J$2:$K$139, 2, FALSE)),"-",VLOOKUP($T72, 'Reference data'!$J$2:$K$139, 2, FALSE))</f>
        <v>-</v>
      </c>
      <c r="V72" s="147"/>
      <c r="W72" s="147"/>
      <c r="X72" s="471"/>
      <c r="Y72" s="472"/>
      <c r="Z72" s="144"/>
      <c r="AA72" s="508"/>
      <c r="AB72" s="163"/>
      <c r="AC72" s="148"/>
      <c r="AD72" s="480"/>
      <c r="AE72" s="348" t="s">
        <v>280</v>
      </c>
      <c r="AF72" s="354" t="s">
        <v>79</v>
      </c>
      <c r="AG72" s="484"/>
    </row>
    <row r="73" spans="2:33" s="434" customFormat="1">
      <c r="B73" s="493" t="str">
        <f>IF(AND(Validator!G67=TRUE,Validator!G317=TRUE,Validator!G567=TRUE,Validator!G817=TRUE,Validator!G1067=TRUE,Validator!G1317=TRUE),"Valid","Invalid")</f>
        <v>Valid</v>
      </c>
      <c r="C73" s="144"/>
      <c r="D73" s="478"/>
      <c r="E73" s="479"/>
      <c r="F73" s="580"/>
      <c r="G73" s="480"/>
      <c r="H73" s="580"/>
      <c r="I73" s="483"/>
      <c r="J73" s="146"/>
      <c r="K73" s="297"/>
      <c r="L73" s="541"/>
      <c r="M73" s="469"/>
      <c r="N73" s="262"/>
      <c r="O73" s="348" t="s">
        <v>280</v>
      </c>
      <c r="P73" s="349" t="s">
        <v>79</v>
      </c>
      <c r="Q73" s="476"/>
      <c r="R73" s="467"/>
      <c r="S73" s="467"/>
      <c r="T73" s="476"/>
      <c r="U73" s="490" t="str">
        <f>IF(ISERROR(VLOOKUP($T73, 'Reference data'!$J$2:$K$139, 2, FALSE)),"-",VLOOKUP($T73, 'Reference data'!$J$2:$K$139, 2, FALSE))</f>
        <v>-</v>
      </c>
      <c r="V73" s="147"/>
      <c r="W73" s="147"/>
      <c r="X73" s="471"/>
      <c r="Y73" s="472"/>
      <c r="Z73" s="144"/>
      <c r="AA73" s="508"/>
      <c r="AB73" s="163"/>
      <c r="AC73" s="148"/>
      <c r="AD73" s="480"/>
      <c r="AE73" s="348" t="s">
        <v>280</v>
      </c>
      <c r="AF73" s="354" t="s">
        <v>79</v>
      </c>
      <c r="AG73" s="484"/>
    </row>
    <row r="74" spans="2:33" s="434" customFormat="1">
      <c r="B74" s="493" t="str">
        <f>IF(AND(Validator!G68=TRUE,Validator!G318=TRUE,Validator!G568=TRUE,Validator!G818=TRUE,Validator!G1068=TRUE,Validator!G1318=TRUE),"Valid","Invalid")</f>
        <v>Valid</v>
      </c>
      <c r="C74" s="144"/>
      <c r="D74" s="478"/>
      <c r="E74" s="479"/>
      <c r="F74" s="580"/>
      <c r="G74" s="480"/>
      <c r="H74" s="580"/>
      <c r="I74" s="483"/>
      <c r="J74" s="146"/>
      <c r="K74" s="297"/>
      <c r="L74" s="541"/>
      <c r="M74" s="469"/>
      <c r="N74" s="262"/>
      <c r="O74" s="348" t="s">
        <v>280</v>
      </c>
      <c r="P74" s="349" t="s">
        <v>79</v>
      </c>
      <c r="Q74" s="476"/>
      <c r="R74" s="467"/>
      <c r="S74" s="467"/>
      <c r="T74" s="476"/>
      <c r="U74" s="490" t="str">
        <f>IF(ISERROR(VLOOKUP($T74, 'Reference data'!$J$2:$K$139, 2, FALSE)),"-",VLOOKUP($T74, 'Reference data'!$J$2:$K$139, 2, FALSE))</f>
        <v>-</v>
      </c>
      <c r="V74" s="147"/>
      <c r="W74" s="147"/>
      <c r="X74" s="471"/>
      <c r="Y74" s="472"/>
      <c r="Z74" s="144"/>
      <c r="AA74" s="508"/>
      <c r="AB74" s="163"/>
      <c r="AC74" s="148"/>
      <c r="AD74" s="480"/>
      <c r="AE74" s="348" t="s">
        <v>280</v>
      </c>
      <c r="AF74" s="354" t="s">
        <v>79</v>
      </c>
      <c r="AG74" s="484"/>
    </row>
    <row r="75" spans="2:33" s="434" customFormat="1">
      <c r="B75" s="493" t="str">
        <f>IF(AND(Validator!G69=TRUE,Validator!G319=TRUE,Validator!G569=TRUE,Validator!G819=TRUE,Validator!G1069=TRUE,Validator!G1319=TRUE),"Valid","Invalid")</f>
        <v>Valid</v>
      </c>
      <c r="C75" s="144"/>
      <c r="D75" s="478"/>
      <c r="E75" s="479"/>
      <c r="F75" s="580"/>
      <c r="G75" s="480"/>
      <c r="H75" s="580"/>
      <c r="I75" s="483"/>
      <c r="J75" s="146"/>
      <c r="K75" s="297"/>
      <c r="L75" s="541"/>
      <c r="M75" s="469"/>
      <c r="N75" s="262"/>
      <c r="O75" s="348" t="s">
        <v>280</v>
      </c>
      <c r="P75" s="349" t="s">
        <v>79</v>
      </c>
      <c r="Q75" s="476"/>
      <c r="R75" s="467"/>
      <c r="S75" s="467"/>
      <c r="T75" s="476"/>
      <c r="U75" s="490" t="str">
        <f>IF(ISERROR(VLOOKUP($T75, 'Reference data'!$J$2:$K$139, 2, FALSE)),"-",VLOOKUP($T75, 'Reference data'!$J$2:$K$139, 2, FALSE))</f>
        <v>-</v>
      </c>
      <c r="V75" s="147"/>
      <c r="W75" s="147"/>
      <c r="X75" s="471"/>
      <c r="Y75" s="472"/>
      <c r="Z75" s="144"/>
      <c r="AA75" s="508"/>
      <c r="AB75" s="163"/>
      <c r="AC75" s="148"/>
      <c r="AD75" s="480"/>
      <c r="AE75" s="348" t="s">
        <v>280</v>
      </c>
      <c r="AF75" s="354" t="s">
        <v>79</v>
      </c>
      <c r="AG75" s="484"/>
    </row>
    <row r="76" spans="2:33" s="434" customFormat="1">
      <c r="B76" s="493" t="str">
        <f>IF(AND(Validator!G70=TRUE,Validator!G320=TRUE,Validator!G570=TRUE,Validator!G820=TRUE,Validator!G1070=TRUE,Validator!G1320=TRUE),"Valid","Invalid")</f>
        <v>Valid</v>
      </c>
      <c r="C76" s="144"/>
      <c r="D76" s="478"/>
      <c r="E76" s="479"/>
      <c r="F76" s="580"/>
      <c r="G76" s="480"/>
      <c r="H76" s="580"/>
      <c r="I76" s="483"/>
      <c r="J76" s="146"/>
      <c r="K76" s="297"/>
      <c r="L76" s="541"/>
      <c r="M76" s="469"/>
      <c r="N76" s="262"/>
      <c r="O76" s="348" t="s">
        <v>280</v>
      </c>
      <c r="P76" s="349" t="s">
        <v>79</v>
      </c>
      <c r="Q76" s="476"/>
      <c r="R76" s="467"/>
      <c r="S76" s="467"/>
      <c r="T76" s="476"/>
      <c r="U76" s="490" t="str">
        <f>IF(ISERROR(VLOOKUP($T76, 'Reference data'!$J$2:$K$139, 2, FALSE)),"-",VLOOKUP($T76, 'Reference data'!$J$2:$K$139, 2, FALSE))</f>
        <v>-</v>
      </c>
      <c r="V76" s="147"/>
      <c r="W76" s="147"/>
      <c r="X76" s="471"/>
      <c r="Y76" s="472"/>
      <c r="Z76" s="144"/>
      <c r="AA76" s="508"/>
      <c r="AB76" s="163"/>
      <c r="AC76" s="148"/>
      <c r="AD76" s="480"/>
      <c r="AE76" s="348" t="s">
        <v>280</v>
      </c>
      <c r="AF76" s="354" t="s">
        <v>79</v>
      </c>
      <c r="AG76" s="484"/>
    </row>
    <row r="77" spans="2:33" s="434" customFormat="1">
      <c r="B77" s="493" t="str">
        <f>IF(AND(Validator!G71=TRUE,Validator!G321=TRUE,Validator!G571=TRUE,Validator!G821=TRUE,Validator!G1071=TRUE,Validator!G1321=TRUE),"Valid","Invalid")</f>
        <v>Valid</v>
      </c>
      <c r="C77" s="144"/>
      <c r="D77" s="478"/>
      <c r="E77" s="479"/>
      <c r="F77" s="580"/>
      <c r="G77" s="480"/>
      <c r="H77" s="580"/>
      <c r="I77" s="483"/>
      <c r="J77" s="146"/>
      <c r="K77" s="297"/>
      <c r="L77" s="541"/>
      <c r="M77" s="469"/>
      <c r="N77" s="262"/>
      <c r="O77" s="348" t="s">
        <v>280</v>
      </c>
      <c r="P77" s="349" t="s">
        <v>79</v>
      </c>
      <c r="Q77" s="476"/>
      <c r="R77" s="467"/>
      <c r="S77" s="467"/>
      <c r="T77" s="476"/>
      <c r="U77" s="490" t="str">
        <f>IF(ISERROR(VLOOKUP($T77, 'Reference data'!$J$2:$K$139, 2, FALSE)),"-",VLOOKUP($T77, 'Reference data'!$J$2:$K$139, 2, FALSE))</f>
        <v>-</v>
      </c>
      <c r="V77" s="147"/>
      <c r="W77" s="147"/>
      <c r="X77" s="471"/>
      <c r="Y77" s="472"/>
      <c r="Z77" s="144"/>
      <c r="AA77" s="508"/>
      <c r="AB77" s="163"/>
      <c r="AC77" s="148"/>
      <c r="AD77" s="480"/>
      <c r="AE77" s="348" t="s">
        <v>280</v>
      </c>
      <c r="AF77" s="354" t="s">
        <v>79</v>
      </c>
      <c r="AG77" s="484"/>
    </row>
    <row r="78" spans="2:33" s="434" customFormat="1">
      <c r="B78" s="493" t="str">
        <f>IF(AND(Validator!G72=TRUE,Validator!G322=TRUE,Validator!G572=TRUE,Validator!G822=TRUE,Validator!G1072=TRUE,Validator!G1322=TRUE),"Valid","Invalid")</f>
        <v>Valid</v>
      </c>
      <c r="C78" s="144"/>
      <c r="D78" s="478"/>
      <c r="E78" s="479"/>
      <c r="F78" s="580"/>
      <c r="G78" s="480"/>
      <c r="H78" s="580"/>
      <c r="I78" s="483"/>
      <c r="J78" s="146"/>
      <c r="K78" s="297"/>
      <c r="L78" s="541"/>
      <c r="M78" s="469"/>
      <c r="N78" s="262"/>
      <c r="O78" s="348" t="s">
        <v>280</v>
      </c>
      <c r="P78" s="349" t="s">
        <v>79</v>
      </c>
      <c r="Q78" s="476"/>
      <c r="R78" s="467"/>
      <c r="S78" s="467"/>
      <c r="T78" s="476"/>
      <c r="U78" s="490" t="str">
        <f>IF(ISERROR(VLOOKUP($T78, 'Reference data'!$J$2:$K$139, 2, FALSE)),"-",VLOOKUP($T78, 'Reference data'!$J$2:$K$139, 2, FALSE))</f>
        <v>-</v>
      </c>
      <c r="V78" s="147"/>
      <c r="W78" s="147"/>
      <c r="X78" s="471"/>
      <c r="Y78" s="472"/>
      <c r="Z78" s="144"/>
      <c r="AA78" s="508"/>
      <c r="AB78" s="163"/>
      <c r="AC78" s="148"/>
      <c r="AD78" s="480"/>
      <c r="AE78" s="348" t="s">
        <v>280</v>
      </c>
      <c r="AF78" s="354" t="s">
        <v>79</v>
      </c>
      <c r="AG78" s="484"/>
    </row>
    <row r="79" spans="2:33" s="434" customFormat="1">
      <c r="B79" s="493" t="str">
        <f>IF(AND(Validator!G73=TRUE,Validator!G323=TRUE,Validator!G573=TRUE,Validator!G823=TRUE,Validator!G1073=TRUE,Validator!G1323=TRUE),"Valid","Invalid")</f>
        <v>Valid</v>
      </c>
      <c r="C79" s="144"/>
      <c r="D79" s="478"/>
      <c r="E79" s="479"/>
      <c r="F79" s="580"/>
      <c r="G79" s="480"/>
      <c r="H79" s="580"/>
      <c r="I79" s="483"/>
      <c r="J79" s="146"/>
      <c r="K79" s="297"/>
      <c r="L79" s="541"/>
      <c r="M79" s="469"/>
      <c r="N79" s="262"/>
      <c r="O79" s="348" t="s">
        <v>280</v>
      </c>
      <c r="P79" s="349" t="s">
        <v>79</v>
      </c>
      <c r="Q79" s="476"/>
      <c r="R79" s="467"/>
      <c r="S79" s="467"/>
      <c r="T79" s="476"/>
      <c r="U79" s="490" t="str">
        <f>IF(ISERROR(VLOOKUP($T79, 'Reference data'!$J$2:$K$139, 2, FALSE)),"-",VLOOKUP($T79, 'Reference data'!$J$2:$K$139, 2, FALSE))</f>
        <v>-</v>
      </c>
      <c r="V79" s="147"/>
      <c r="W79" s="147"/>
      <c r="X79" s="471"/>
      <c r="Y79" s="472"/>
      <c r="Z79" s="144"/>
      <c r="AA79" s="508"/>
      <c r="AB79" s="163"/>
      <c r="AC79" s="148"/>
      <c r="AD79" s="480"/>
      <c r="AE79" s="348" t="s">
        <v>280</v>
      </c>
      <c r="AF79" s="354" t="s">
        <v>79</v>
      </c>
      <c r="AG79" s="484"/>
    </row>
    <row r="80" spans="2:33" s="434" customFormat="1">
      <c r="B80" s="493" t="str">
        <f>IF(AND(Validator!G74=TRUE,Validator!G324=TRUE,Validator!G574=TRUE,Validator!G824=TRUE,Validator!G1074=TRUE,Validator!G1324=TRUE),"Valid","Invalid")</f>
        <v>Valid</v>
      </c>
      <c r="C80" s="144"/>
      <c r="D80" s="478"/>
      <c r="E80" s="479"/>
      <c r="F80" s="580"/>
      <c r="G80" s="480"/>
      <c r="H80" s="580"/>
      <c r="I80" s="483"/>
      <c r="J80" s="146"/>
      <c r="K80" s="297"/>
      <c r="L80" s="541"/>
      <c r="M80" s="469"/>
      <c r="N80" s="262"/>
      <c r="O80" s="348" t="s">
        <v>280</v>
      </c>
      <c r="P80" s="349" t="s">
        <v>79</v>
      </c>
      <c r="Q80" s="476"/>
      <c r="R80" s="467"/>
      <c r="S80" s="467"/>
      <c r="T80" s="476"/>
      <c r="U80" s="490" t="str">
        <f>IF(ISERROR(VLOOKUP($T80, 'Reference data'!$J$2:$K$139, 2, FALSE)),"-",VLOOKUP($T80, 'Reference data'!$J$2:$K$139, 2, FALSE))</f>
        <v>-</v>
      </c>
      <c r="V80" s="147"/>
      <c r="W80" s="147"/>
      <c r="X80" s="471"/>
      <c r="Y80" s="472"/>
      <c r="Z80" s="144"/>
      <c r="AA80" s="508"/>
      <c r="AB80" s="163"/>
      <c r="AC80" s="148"/>
      <c r="AD80" s="480"/>
      <c r="AE80" s="348" t="s">
        <v>280</v>
      </c>
      <c r="AF80" s="354" t="s">
        <v>79</v>
      </c>
      <c r="AG80" s="484"/>
    </row>
    <row r="81" spans="2:33" s="434" customFormat="1">
      <c r="B81" s="493" t="str">
        <f>IF(AND(Validator!G75=TRUE,Validator!G325=TRUE,Validator!G575=TRUE,Validator!G825=TRUE,Validator!G1075=TRUE,Validator!G1325=TRUE),"Valid","Invalid")</f>
        <v>Valid</v>
      </c>
      <c r="C81" s="144"/>
      <c r="D81" s="478"/>
      <c r="E81" s="479"/>
      <c r="F81" s="580"/>
      <c r="G81" s="480"/>
      <c r="H81" s="580"/>
      <c r="I81" s="483"/>
      <c r="J81" s="146"/>
      <c r="K81" s="297"/>
      <c r="L81" s="541"/>
      <c r="M81" s="469"/>
      <c r="N81" s="262"/>
      <c r="O81" s="348" t="s">
        <v>280</v>
      </c>
      <c r="P81" s="349" t="s">
        <v>79</v>
      </c>
      <c r="Q81" s="476"/>
      <c r="R81" s="467"/>
      <c r="S81" s="467"/>
      <c r="T81" s="476"/>
      <c r="U81" s="490" t="str">
        <f>IF(ISERROR(VLOOKUP($T81, 'Reference data'!$J$2:$K$139, 2, FALSE)),"-",VLOOKUP($T81, 'Reference data'!$J$2:$K$139, 2, FALSE))</f>
        <v>-</v>
      </c>
      <c r="V81" s="147"/>
      <c r="W81" s="147"/>
      <c r="X81" s="471"/>
      <c r="Y81" s="472"/>
      <c r="Z81" s="144"/>
      <c r="AA81" s="508"/>
      <c r="AB81" s="163"/>
      <c r="AC81" s="148"/>
      <c r="AD81" s="480"/>
      <c r="AE81" s="348" t="s">
        <v>280</v>
      </c>
      <c r="AF81" s="354" t="s">
        <v>79</v>
      </c>
      <c r="AG81" s="484"/>
    </row>
    <row r="82" spans="2:33" s="434" customFormat="1">
      <c r="B82" s="493" t="str">
        <f>IF(AND(Validator!G76=TRUE,Validator!G326=TRUE,Validator!G576=TRUE,Validator!G826=TRUE,Validator!G1076=TRUE,Validator!G1326=TRUE),"Valid","Invalid")</f>
        <v>Valid</v>
      </c>
      <c r="C82" s="144"/>
      <c r="D82" s="478"/>
      <c r="E82" s="479"/>
      <c r="F82" s="580"/>
      <c r="G82" s="480"/>
      <c r="H82" s="580"/>
      <c r="I82" s="483"/>
      <c r="J82" s="146"/>
      <c r="K82" s="297"/>
      <c r="L82" s="541"/>
      <c r="M82" s="469"/>
      <c r="N82" s="262"/>
      <c r="O82" s="348" t="s">
        <v>280</v>
      </c>
      <c r="P82" s="349" t="s">
        <v>79</v>
      </c>
      <c r="Q82" s="476"/>
      <c r="R82" s="467"/>
      <c r="S82" s="467"/>
      <c r="T82" s="476"/>
      <c r="U82" s="490" t="str">
        <f>IF(ISERROR(VLOOKUP($T82, 'Reference data'!$J$2:$K$139, 2, FALSE)),"-",VLOOKUP($T82, 'Reference data'!$J$2:$K$139, 2, FALSE))</f>
        <v>-</v>
      </c>
      <c r="V82" s="147"/>
      <c r="W82" s="147"/>
      <c r="X82" s="471"/>
      <c r="Y82" s="472"/>
      <c r="Z82" s="144"/>
      <c r="AA82" s="508"/>
      <c r="AB82" s="163"/>
      <c r="AC82" s="148"/>
      <c r="AD82" s="480"/>
      <c r="AE82" s="348" t="s">
        <v>280</v>
      </c>
      <c r="AF82" s="354" t="s">
        <v>79</v>
      </c>
      <c r="AG82" s="484"/>
    </row>
    <row r="83" spans="2:33" s="434" customFormat="1">
      <c r="B83" s="493" t="str">
        <f>IF(AND(Validator!G77=TRUE,Validator!G327=TRUE,Validator!G577=TRUE,Validator!G827=TRUE,Validator!G1077=TRUE,Validator!G1327=TRUE),"Valid","Invalid")</f>
        <v>Valid</v>
      </c>
      <c r="C83" s="144"/>
      <c r="D83" s="478"/>
      <c r="E83" s="479"/>
      <c r="F83" s="580"/>
      <c r="G83" s="480"/>
      <c r="H83" s="580"/>
      <c r="I83" s="483"/>
      <c r="J83" s="146"/>
      <c r="K83" s="297"/>
      <c r="L83" s="541"/>
      <c r="M83" s="469"/>
      <c r="N83" s="262"/>
      <c r="O83" s="348" t="s">
        <v>280</v>
      </c>
      <c r="P83" s="349" t="s">
        <v>79</v>
      </c>
      <c r="Q83" s="476"/>
      <c r="R83" s="467"/>
      <c r="S83" s="467"/>
      <c r="T83" s="476"/>
      <c r="U83" s="490" t="str">
        <f>IF(ISERROR(VLOOKUP($T83, 'Reference data'!$J$2:$K$139, 2, FALSE)),"-",VLOOKUP($T83, 'Reference data'!$J$2:$K$139, 2, FALSE))</f>
        <v>-</v>
      </c>
      <c r="V83" s="147"/>
      <c r="W83" s="147"/>
      <c r="X83" s="471"/>
      <c r="Y83" s="472"/>
      <c r="Z83" s="144"/>
      <c r="AA83" s="508"/>
      <c r="AB83" s="163"/>
      <c r="AC83" s="148"/>
      <c r="AD83" s="480"/>
      <c r="AE83" s="348" t="s">
        <v>280</v>
      </c>
      <c r="AF83" s="354" t="s">
        <v>79</v>
      </c>
      <c r="AG83" s="484"/>
    </row>
    <row r="84" spans="2:33" s="434" customFormat="1">
      <c r="B84" s="493" t="str">
        <f>IF(AND(Validator!G78=TRUE,Validator!G328=TRUE,Validator!G578=TRUE,Validator!G828=TRUE,Validator!G1078=TRUE,Validator!G1328=TRUE),"Valid","Invalid")</f>
        <v>Valid</v>
      </c>
      <c r="C84" s="144"/>
      <c r="D84" s="478"/>
      <c r="E84" s="479"/>
      <c r="F84" s="580"/>
      <c r="G84" s="480"/>
      <c r="H84" s="580"/>
      <c r="I84" s="483"/>
      <c r="J84" s="146"/>
      <c r="K84" s="297"/>
      <c r="L84" s="541"/>
      <c r="M84" s="469"/>
      <c r="N84" s="262"/>
      <c r="O84" s="348" t="s">
        <v>280</v>
      </c>
      <c r="P84" s="349" t="s">
        <v>79</v>
      </c>
      <c r="Q84" s="476"/>
      <c r="R84" s="467"/>
      <c r="S84" s="467"/>
      <c r="T84" s="476"/>
      <c r="U84" s="490" t="str">
        <f>IF(ISERROR(VLOOKUP($T84, 'Reference data'!$J$2:$K$139, 2, FALSE)),"-",VLOOKUP($T84, 'Reference data'!$J$2:$K$139, 2, FALSE))</f>
        <v>-</v>
      </c>
      <c r="V84" s="147"/>
      <c r="W84" s="147"/>
      <c r="X84" s="471"/>
      <c r="Y84" s="472"/>
      <c r="Z84" s="144"/>
      <c r="AA84" s="508"/>
      <c r="AB84" s="163"/>
      <c r="AC84" s="148"/>
      <c r="AD84" s="480"/>
      <c r="AE84" s="348" t="s">
        <v>280</v>
      </c>
      <c r="AF84" s="354" t="s">
        <v>79</v>
      </c>
      <c r="AG84" s="484"/>
    </row>
    <row r="85" spans="2:33" s="434" customFormat="1">
      <c r="B85" s="493" t="str">
        <f>IF(AND(Validator!G79=TRUE,Validator!G329=TRUE,Validator!G579=TRUE,Validator!G829=TRUE,Validator!G1079=TRUE,Validator!G1329=TRUE),"Valid","Invalid")</f>
        <v>Valid</v>
      </c>
      <c r="C85" s="144"/>
      <c r="D85" s="478"/>
      <c r="E85" s="479"/>
      <c r="F85" s="580"/>
      <c r="G85" s="480"/>
      <c r="H85" s="580"/>
      <c r="I85" s="483"/>
      <c r="J85" s="146"/>
      <c r="K85" s="297"/>
      <c r="L85" s="541"/>
      <c r="M85" s="469"/>
      <c r="N85" s="262"/>
      <c r="O85" s="348" t="s">
        <v>280</v>
      </c>
      <c r="P85" s="349" t="s">
        <v>79</v>
      </c>
      <c r="Q85" s="476"/>
      <c r="R85" s="467"/>
      <c r="S85" s="467"/>
      <c r="T85" s="476"/>
      <c r="U85" s="490" t="str">
        <f>IF(ISERROR(VLOOKUP($T85, 'Reference data'!$J$2:$K$139, 2, FALSE)),"-",VLOOKUP($T85, 'Reference data'!$J$2:$K$139, 2, FALSE))</f>
        <v>-</v>
      </c>
      <c r="V85" s="147"/>
      <c r="W85" s="147"/>
      <c r="X85" s="471"/>
      <c r="Y85" s="472"/>
      <c r="Z85" s="144"/>
      <c r="AA85" s="508"/>
      <c r="AB85" s="163"/>
      <c r="AC85" s="148"/>
      <c r="AD85" s="480"/>
      <c r="AE85" s="348" t="s">
        <v>280</v>
      </c>
      <c r="AF85" s="354" t="s">
        <v>79</v>
      </c>
      <c r="AG85" s="484"/>
    </row>
    <row r="86" spans="2:33" s="434" customFormat="1">
      <c r="B86" s="493" t="str">
        <f>IF(AND(Validator!G80=TRUE,Validator!G330=TRUE,Validator!G580=TRUE,Validator!G830=TRUE,Validator!G1080=TRUE,Validator!G1330=TRUE),"Valid","Invalid")</f>
        <v>Valid</v>
      </c>
      <c r="C86" s="144"/>
      <c r="D86" s="478"/>
      <c r="E86" s="479"/>
      <c r="F86" s="580"/>
      <c r="G86" s="480"/>
      <c r="H86" s="580"/>
      <c r="I86" s="483"/>
      <c r="J86" s="146"/>
      <c r="K86" s="297"/>
      <c r="L86" s="541"/>
      <c r="M86" s="469"/>
      <c r="N86" s="262"/>
      <c r="O86" s="348" t="s">
        <v>280</v>
      </c>
      <c r="P86" s="349" t="s">
        <v>79</v>
      </c>
      <c r="Q86" s="476"/>
      <c r="R86" s="467"/>
      <c r="S86" s="467"/>
      <c r="T86" s="476"/>
      <c r="U86" s="490" t="str">
        <f>IF(ISERROR(VLOOKUP($T86, 'Reference data'!$J$2:$K$139, 2, FALSE)),"-",VLOOKUP($T86, 'Reference data'!$J$2:$K$139, 2, FALSE))</f>
        <v>-</v>
      </c>
      <c r="V86" s="147"/>
      <c r="W86" s="147"/>
      <c r="X86" s="471"/>
      <c r="Y86" s="472"/>
      <c r="Z86" s="144"/>
      <c r="AA86" s="508"/>
      <c r="AB86" s="163"/>
      <c r="AC86" s="148"/>
      <c r="AD86" s="480"/>
      <c r="AE86" s="348" t="s">
        <v>280</v>
      </c>
      <c r="AF86" s="354" t="s">
        <v>79</v>
      </c>
      <c r="AG86" s="484"/>
    </row>
    <row r="87" spans="2:33" s="434" customFormat="1">
      <c r="B87" s="493" t="str">
        <f>IF(AND(Validator!G81=TRUE,Validator!G331=TRUE,Validator!G581=TRUE,Validator!G831=TRUE,Validator!G1081=TRUE,Validator!G1331=TRUE),"Valid","Invalid")</f>
        <v>Valid</v>
      </c>
      <c r="C87" s="144"/>
      <c r="D87" s="478"/>
      <c r="E87" s="479"/>
      <c r="F87" s="580"/>
      <c r="G87" s="480"/>
      <c r="H87" s="580"/>
      <c r="I87" s="483"/>
      <c r="J87" s="146"/>
      <c r="K87" s="297"/>
      <c r="L87" s="541"/>
      <c r="M87" s="469"/>
      <c r="N87" s="262"/>
      <c r="O87" s="348" t="s">
        <v>280</v>
      </c>
      <c r="P87" s="349" t="s">
        <v>79</v>
      </c>
      <c r="Q87" s="476"/>
      <c r="R87" s="467"/>
      <c r="S87" s="467"/>
      <c r="T87" s="476"/>
      <c r="U87" s="490" t="str">
        <f>IF(ISERROR(VLOOKUP($T87, 'Reference data'!$J$2:$K$139, 2, FALSE)),"-",VLOOKUP($T87, 'Reference data'!$J$2:$K$139, 2, FALSE))</f>
        <v>-</v>
      </c>
      <c r="V87" s="147"/>
      <c r="W87" s="147"/>
      <c r="X87" s="471"/>
      <c r="Y87" s="472"/>
      <c r="Z87" s="144"/>
      <c r="AA87" s="508"/>
      <c r="AB87" s="163"/>
      <c r="AC87" s="148"/>
      <c r="AD87" s="480"/>
      <c r="AE87" s="348" t="s">
        <v>280</v>
      </c>
      <c r="AF87" s="354" t="s">
        <v>79</v>
      </c>
      <c r="AG87" s="484"/>
    </row>
    <row r="88" spans="2:33" s="434" customFormat="1">
      <c r="B88" s="493" t="str">
        <f>IF(AND(Validator!G82=TRUE,Validator!G332=TRUE,Validator!G582=TRUE,Validator!G832=TRUE,Validator!G1082=TRUE,Validator!G1332=TRUE),"Valid","Invalid")</f>
        <v>Valid</v>
      </c>
      <c r="C88" s="144"/>
      <c r="D88" s="478"/>
      <c r="E88" s="479"/>
      <c r="F88" s="580"/>
      <c r="G88" s="480"/>
      <c r="H88" s="580"/>
      <c r="I88" s="483"/>
      <c r="J88" s="146"/>
      <c r="K88" s="297"/>
      <c r="L88" s="541"/>
      <c r="M88" s="469"/>
      <c r="N88" s="262"/>
      <c r="O88" s="348" t="s">
        <v>280</v>
      </c>
      <c r="P88" s="349" t="s">
        <v>79</v>
      </c>
      <c r="Q88" s="476"/>
      <c r="R88" s="467"/>
      <c r="S88" s="467"/>
      <c r="T88" s="476"/>
      <c r="U88" s="490" t="str">
        <f>IF(ISERROR(VLOOKUP($T88, 'Reference data'!$J$2:$K$139, 2, FALSE)),"-",VLOOKUP($T88, 'Reference data'!$J$2:$K$139, 2, FALSE))</f>
        <v>-</v>
      </c>
      <c r="V88" s="147"/>
      <c r="W88" s="147"/>
      <c r="X88" s="471"/>
      <c r="Y88" s="472"/>
      <c r="Z88" s="144"/>
      <c r="AA88" s="508"/>
      <c r="AB88" s="163"/>
      <c r="AC88" s="148"/>
      <c r="AD88" s="480"/>
      <c r="AE88" s="348" t="s">
        <v>280</v>
      </c>
      <c r="AF88" s="354" t="s">
        <v>79</v>
      </c>
      <c r="AG88" s="484"/>
    </row>
    <row r="89" spans="2:33" s="434" customFormat="1">
      <c r="B89" s="493" t="str">
        <f>IF(AND(Validator!G83=TRUE,Validator!G333=TRUE,Validator!G583=TRUE,Validator!G833=TRUE,Validator!G1083=TRUE,Validator!G1333=TRUE),"Valid","Invalid")</f>
        <v>Valid</v>
      </c>
      <c r="C89" s="144"/>
      <c r="D89" s="478"/>
      <c r="E89" s="479"/>
      <c r="F89" s="580"/>
      <c r="G89" s="480"/>
      <c r="H89" s="580"/>
      <c r="I89" s="483"/>
      <c r="J89" s="146"/>
      <c r="K89" s="297"/>
      <c r="L89" s="541"/>
      <c r="M89" s="469"/>
      <c r="N89" s="262"/>
      <c r="O89" s="348" t="s">
        <v>280</v>
      </c>
      <c r="P89" s="349" t="s">
        <v>79</v>
      </c>
      <c r="Q89" s="476"/>
      <c r="R89" s="467"/>
      <c r="S89" s="467"/>
      <c r="T89" s="476"/>
      <c r="U89" s="490" t="str">
        <f>IF(ISERROR(VLOOKUP($T89, 'Reference data'!$J$2:$K$139, 2, FALSE)),"-",VLOOKUP($T89, 'Reference data'!$J$2:$K$139, 2, FALSE))</f>
        <v>-</v>
      </c>
      <c r="V89" s="147"/>
      <c r="W89" s="147"/>
      <c r="X89" s="471"/>
      <c r="Y89" s="472"/>
      <c r="Z89" s="144"/>
      <c r="AA89" s="508"/>
      <c r="AB89" s="163"/>
      <c r="AC89" s="148"/>
      <c r="AD89" s="480"/>
      <c r="AE89" s="348" t="s">
        <v>280</v>
      </c>
      <c r="AF89" s="354" t="s">
        <v>79</v>
      </c>
      <c r="AG89" s="484"/>
    </row>
    <row r="90" spans="2:33" s="434" customFormat="1">
      <c r="B90" s="493" t="str">
        <f>IF(AND(Validator!G84=TRUE,Validator!G334=TRUE,Validator!G584=TRUE,Validator!G834=TRUE,Validator!G1084=TRUE,Validator!G1334=TRUE),"Valid","Invalid")</f>
        <v>Valid</v>
      </c>
      <c r="C90" s="144"/>
      <c r="D90" s="478"/>
      <c r="E90" s="479"/>
      <c r="F90" s="580"/>
      <c r="G90" s="480"/>
      <c r="H90" s="580"/>
      <c r="I90" s="483"/>
      <c r="J90" s="146"/>
      <c r="K90" s="297"/>
      <c r="L90" s="541"/>
      <c r="M90" s="469"/>
      <c r="N90" s="262"/>
      <c r="O90" s="348" t="s">
        <v>280</v>
      </c>
      <c r="P90" s="349" t="s">
        <v>79</v>
      </c>
      <c r="Q90" s="476"/>
      <c r="R90" s="467"/>
      <c r="S90" s="467"/>
      <c r="T90" s="476"/>
      <c r="U90" s="490" t="str">
        <f>IF(ISERROR(VLOOKUP($T90, 'Reference data'!$J$2:$K$139, 2, FALSE)),"-",VLOOKUP($T90, 'Reference data'!$J$2:$K$139, 2, FALSE))</f>
        <v>-</v>
      </c>
      <c r="V90" s="147"/>
      <c r="W90" s="147"/>
      <c r="X90" s="471"/>
      <c r="Y90" s="472"/>
      <c r="Z90" s="144"/>
      <c r="AA90" s="508"/>
      <c r="AB90" s="163"/>
      <c r="AC90" s="148"/>
      <c r="AD90" s="480"/>
      <c r="AE90" s="348" t="s">
        <v>280</v>
      </c>
      <c r="AF90" s="354" t="s">
        <v>79</v>
      </c>
      <c r="AG90" s="484"/>
    </row>
    <row r="91" spans="2:33" s="434" customFormat="1">
      <c r="B91" s="493" t="str">
        <f>IF(AND(Validator!G85=TRUE,Validator!G335=TRUE,Validator!G585=TRUE,Validator!G835=TRUE,Validator!G1085=TRUE,Validator!G1335=TRUE),"Valid","Invalid")</f>
        <v>Valid</v>
      </c>
      <c r="C91" s="144"/>
      <c r="D91" s="478"/>
      <c r="E91" s="479"/>
      <c r="F91" s="580"/>
      <c r="G91" s="480"/>
      <c r="H91" s="580"/>
      <c r="I91" s="483"/>
      <c r="J91" s="146"/>
      <c r="K91" s="297"/>
      <c r="L91" s="541"/>
      <c r="M91" s="469"/>
      <c r="N91" s="262"/>
      <c r="O91" s="348" t="s">
        <v>280</v>
      </c>
      <c r="P91" s="349" t="s">
        <v>79</v>
      </c>
      <c r="Q91" s="476"/>
      <c r="R91" s="467"/>
      <c r="S91" s="467"/>
      <c r="T91" s="476"/>
      <c r="U91" s="490" t="str">
        <f>IF(ISERROR(VLOOKUP($T91, 'Reference data'!$J$2:$K$139, 2, FALSE)),"-",VLOOKUP($T91, 'Reference data'!$J$2:$K$139, 2, FALSE))</f>
        <v>-</v>
      </c>
      <c r="V91" s="147"/>
      <c r="W91" s="147"/>
      <c r="X91" s="471"/>
      <c r="Y91" s="472"/>
      <c r="Z91" s="144"/>
      <c r="AA91" s="508"/>
      <c r="AB91" s="163"/>
      <c r="AC91" s="148"/>
      <c r="AD91" s="480"/>
      <c r="AE91" s="348" t="s">
        <v>280</v>
      </c>
      <c r="AF91" s="354" t="s">
        <v>79</v>
      </c>
      <c r="AG91" s="484"/>
    </row>
    <row r="92" spans="2:33" s="434" customFormat="1">
      <c r="B92" s="493" t="str">
        <f>IF(AND(Validator!G86=TRUE,Validator!G336=TRUE,Validator!G586=TRUE,Validator!G836=TRUE,Validator!G1086=TRUE,Validator!G1336=TRUE),"Valid","Invalid")</f>
        <v>Valid</v>
      </c>
      <c r="C92" s="144"/>
      <c r="D92" s="478"/>
      <c r="E92" s="479"/>
      <c r="F92" s="580"/>
      <c r="G92" s="480"/>
      <c r="H92" s="580"/>
      <c r="I92" s="483"/>
      <c r="J92" s="146"/>
      <c r="K92" s="297"/>
      <c r="L92" s="541"/>
      <c r="M92" s="469"/>
      <c r="N92" s="262"/>
      <c r="O92" s="348" t="s">
        <v>280</v>
      </c>
      <c r="P92" s="349" t="s">
        <v>79</v>
      </c>
      <c r="Q92" s="476"/>
      <c r="R92" s="467"/>
      <c r="S92" s="467"/>
      <c r="T92" s="476"/>
      <c r="U92" s="490" t="str">
        <f>IF(ISERROR(VLOOKUP($T92, 'Reference data'!$J$2:$K$139, 2, FALSE)),"-",VLOOKUP($T92, 'Reference data'!$J$2:$K$139, 2, FALSE))</f>
        <v>-</v>
      </c>
      <c r="V92" s="147"/>
      <c r="W92" s="147"/>
      <c r="X92" s="471"/>
      <c r="Y92" s="472"/>
      <c r="Z92" s="144"/>
      <c r="AA92" s="508"/>
      <c r="AB92" s="163"/>
      <c r="AC92" s="148"/>
      <c r="AD92" s="480"/>
      <c r="AE92" s="348" t="s">
        <v>280</v>
      </c>
      <c r="AF92" s="354" t="s">
        <v>79</v>
      </c>
      <c r="AG92" s="484"/>
    </row>
    <row r="93" spans="2:33" s="434" customFormat="1">
      <c r="B93" s="493" t="str">
        <f>IF(AND(Validator!G87=TRUE,Validator!G337=TRUE,Validator!G587=TRUE,Validator!G837=TRUE,Validator!G1087=TRUE,Validator!G1337=TRUE),"Valid","Invalid")</f>
        <v>Valid</v>
      </c>
      <c r="C93" s="144"/>
      <c r="D93" s="478"/>
      <c r="E93" s="479"/>
      <c r="F93" s="580"/>
      <c r="G93" s="480"/>
      <c r="H93" s="580"/>
      <c r="I93" s="483"/>
      <c r="J93" s="146"/>
      <c r="K93" s="297"/>
      <c r="L93" s="541"/>
      <c r="M93" s="469"/>
      <c r="N93" s="262"/>
      <c r="O93" s="348" t="s">
        <v>280</v>
      </c>
      <c r="P93" s="349" t="s">
        <v>79</v>
      </c>
      <c r="Q93" s="476"/>
      <c r="R93" s="467"/>
      <c r="S93" s="467"/>
      <c r="T93" s="476"/>
      <c r="U93" s="490" t="str">
        <f>IF(ISERROR(VLOOKUP($T93, 'Reference data'!$J$2:$K$139, 2, FALSE)),"-",VLOOKUP($T93, 'Reference data'!$J$2:$K$139, 2, FALSE))</f>
        <v>-</v>
      </c>
      <c r="V93" s="147"/>
      <c r="W93" s="147"/>
      <c r="X93" s="471"/>
      <c r="Y93" s="472"/>
      <c r="Z93" s="144"/>
      <c r="AA93" s="508"/>
      <c r="AB93" s="163"/>
      <c r="AC93" s="148"/>
      <c r="AD93" s="480"/>
      <c r="AE93" s="348" t="s">
        <v>280</v>
      </c>
      <c r="AF93" s="354" t="s">
        <v>79</v>
      </c>
      <c r="AG93" s="484"/>
    </row>
    <row r="94" spans="2:33" s="434" customFormat="1">
      <c r="B94" s="493" t="str">
        <f>IF(AND(Validator!G88=TRUE,Validator!G338=TRUE,Validator!G588=TRUE,Validator!G838=TRUE,Validator!G1088=TRUE,Validator!G1338=TRUE),"Valid","Invalid")</f>
        <v>Valid</v>
      </c>
      <c r="C94" s="144"/>
      <c r="D94" s="478"/>
      <c r="E94" s="479"/>
      <c r="F94" s="580"/>
      <c r="G94" s="480"/>
      <c r="H94" s="580"/>
      <c r="I94" s="483"/>
      <c r="J94" s="146"/>
      <c r="K94" s="297"/>
      <c r="L94" s="541"/>
      <c r="M94" s="469"/>
      <c r="N94" s="262"/>
      <c r="O94" s="348" t="s">
        <v>280</v>
      </c>
      <c r="P94" s="349" t="s">
        <v>79</v>
      </c>
      <c r="Q94" s="476"/>
      <c r="R94" s="467"/>
      <c r="S94" s="467"/>
      <c r="T94" s="476"/>
      <c r="U94" s="490" t="str">
        <f>IF(ISERROR(VLOOKUP($T94, 'Reference data'!$J$2:$K$139, 2, FALSE)),"-",VLOOKUP($T94, 'Reference data'!$J$2:$K$139, 2, FALSE))</f>
        <v>-</v>
      </c>
      <c r="V94" s="147"/>
      <c r="W94" s="147"/>
      <c r="X94" s="471"/>
      <c r="Y94" s="472"/>
      <c r="Z94" s="144"/>
      <c r="AA94" s="508"/>
      <c r="AB94" s="163"/>
      <c r="AC94" s="148"/>
      <c r="AD94" s="480"/>
      <c r="AE94" s="348" t="s">
        <v>280</v>
      </c>
      <c r="AF94" s="354" t="s">
        <v>79</v>
      </c>
      <c r="AG94" s="484"/>
    </row>
    <row r="95" spans="2:33" s="434" customFormat="1">
      <c r="B95" s="493" t="str">
        <f>IF(AND(Validator!G89=TRUE,Validator!G339=TRUE,Validator!G589=TRUE,Validator!G839=TRUE,Validator!G1089=TRUE,Validator!G1339=TRUE),"Valid","Invalid")</f>
        <v>Valid</v>
      </c>
      <c r="C95" s="144"/>
      <c r="D95" s="478"/>
      <c r="E95" s="479"/>
      <c r="F95" s="580"/>
      <c r="G95" s="480"/>
      <c r="H95" s="580"/>
      <c r="I95" s="483"/>
      <c r="J95" s="146"/>
      <c r="K95" s="297"/>
      <c r="L95" s="541"/>
      <c r="M95" s="469"/>
      <c r="N95" s="262"/>
      <c r="O95" s="348" t="s">
        <v>280</v>
      </c>
      <c r="P95" s="349" t="s">
        <v>79</v>
      </c>
      <c r="Q95" s="476"/>
      <c r="R95" s="467"/>
      <c r="S95" s="467"/>
      <c r="T95" s="476"/>
      <c r="U95" s="490" t="str">
        <f>IF(ISERROR(VLOOKUP($T95, 'Reference data'!$J$2:$K$139, 2, FALSE)),"-",VLOOKUP($T95, 'Reference data'!$J$2:$K$139, 2, FALSE))</f>
        <v>-</v>
      </c>
      <c r="V95" s="147"/>
      <c r="W95" s="147"/>
      <c r="X95" s="471"/>
      <c r="Y95" s="472"/>
      <c r="Z95" s="144"/>
      <c r="AA95" s="508"/>
      <c r="AB95" s="163"/>
      <c r="AC95" s="148"/>
      <c r="AD95" s="480"/>
      <c r="AE95" s="348" t="s">
        <v>280</v>
      </c>
      <c r="AF95" s="354" t="s">
        <v>79</v>
      </c>
      <c r="AG95" s="484"/>
    </row>
    <row r="96" spans="2:33" s="434" customFormat="1">
      <c r="B96" s="493" t="str">
        <f>IF(AND(Validator!G90=TRUE,Validator!G340=TRUE,Validator!G590=TRUE,Validator!G840=TRUE,Validator!G1090=TRUE,Validator!G1340=TRUE),"Valid","Invalid")</f>
        <v>Valid</v>
      </c>
      <c r="C96" s="144"/>
      <c r="D96" s="478"/>
      <c r="E96" s="479"/>
      <c r="F96" s="580"/>
      <c r="G96" s="480"/>
      <c r="H96" s="580"/>
      <c r="I96" s="483"/>
      <c r="J96" s="146"/>
      <c r="K96" s="297"/>
      <c r="L96" s="541"/>
      <c r="M96" s="469"/>
      <c r="N96" s="262"/>
      <c r="O96" s="348" t="s">
        <v>280</v>
      </c>
      <c r="P96" s="349" t="s">
        <v>79</v>
      </c>
      <c r="Q96" s="476"/>
      <c r="R96" s="467"/>
      <c r="S96" s="467"/>
      <c r="T96" s="476"/>
      <c r="U96" s="490" t="str">
        <f>IF(ISERROR(VLOOKUP($T96, 'Reference data'!$J$2:$K$139, 2, FALSE)),"-",VLOOKUP($T96, 'Reference data'!$J$2:$K$139, 2, FALSE))</f>
        <v>-</v>
      </c>
      <c r="V96" s="147"/>
      <c r="W96" s="147"/>
      <c r="X96" s="471"/>
      <c r="Y96" s="472"/>
      <c r="Z96" s="144"/>
      <c r="AA96" s="508"/>
      <c r="AB96" s="163"/>
      <c r="AC96" s="148"/>
      <c r="AD96" s="480"/>
      <c r="AE96" s="348" t="s">
        <v>280</v>
      </c>
      <c r="AF96" s="354" t="s">
        <v>79</v>
      </c>
      <c r="AG96" s="484"/>
    </row>
    <row r="97" spans="2:33" s="434" customFormat="1">
      <c r="B97" s="493" t="str">
        <f>IF(AND(Validator!G91=TRUE,Validator!G341=TRUE,Validator!G591=TRUE,Validator!G841=TRUE,Validator!G1091=TRUE,Validator!G1341=TRUE),"Valid","Invalid")</f>
        <v>Valid</v>
      </c>
      <c r="C97" s="144"/>
      <c r="D97" s="478"/>
      <c r="E97" s="479"/>
      <c r="F97" s="580"/>
      <c r="G97" s="480"/>
      <c r="H97" s="580"/>
      <c r="I97" s="483"/>
      <c r="J97" s="146"/>
      <c r="K97" s="297"/>
      <c r="L97" s="541"/>
      <c r="M97" s="469"/>
      <c r="N97" s="262"/>
      <c r="O97" s="348" t="s">
        <v>280</v>
      </c>
      <c r="P97" s="349" t="s">
        <v>79</v>
      </c>
      <c r="Q97" s="476"/>
      <c r="R97" s="467"/>
      <c r="S97" s="467"/>
      <c r="T97" s="476"/>
      <c r="U97" s="490" t="str">
        <f>IF(ISERROR(VLOOKUP($T97, 'Reference data'!$J$2:$K$139, 2, FALSE)),"-",VLOOKUP($T97, 'Reference data'!$J$2:$K$139, 2, FALSE))</f>
        <v>-</v>
      </c>
      <c r="V97" s="147"/>
      <c r="W97" s="147"/>
      <c r="X97" s="471"/>
      <c r="Y97" s="472"/>
      <c r="Z97" s="144"/>
      <c r="AA97" s="508"/>
      <c r="AB97" s="163"/>
      <c r="AC97" s="148"/>
      <c r="AD97" s="480"/>
      <c r="AE97" s="348" t="s">
        <v>280</v>
      </c>
      <c r="AF97" s="354" t="s">
        <v>79</v>
      </c>
      <c r="AG97" s="484"/>
    </row>
    <row r="98" spans="2:33" s="434" customFormat="1">
      <c r="B98" s="493" t="str">
        <f>IF(AND(Validator!G92=TRUE,Validator!G342=TRUE,Validator!G592=TRUE,Validator!G842=TRUE,Validator!G1092=TRUE,Validator!G1342=TRUE),"Valid","Invalid")</f>
        <v>Valid</v>
      </c>
      <c r="C98" s="144"/>
      <c r="D98" s="478"/>
      <c r="E98" s="479"/>
      <c r="F98" s="580"/>
      <c r="G98" s="480"/>
      <c r="H98" s="580"/>
      <c r="I98" s="483"/>
      <c r="J98" s="146"/>
      <c r="K98" s="297"/>
      <c r="L98" s="541"/>
      <c r="M98" s="469"/>
      <c r="N98" s="262"/>
      <c r="O98" s="348" t="s">
        <v>280</v>
      </c>
      <c r="P98" s="349" t="s">
        <v>79</v>
      </c>
      <c r="Q98" s="476"/>
      <c r="R98" s="467"/>
      <c r="S98" s="467"/>
      <c r="T98" s="476"/>
      <c r="U98" s="490" t="str">
        <f>IF(ISERROR(VLOOKUP($T98, 'Reference data'!$J$2:$K$139, 2, FALSE)),"-",VLOOKUP($T98, 'Reference data'!$J$2:$K$139, 2, FALSE))</f>
        <v>-</v>
      </c>
      <c r="V98" s="147"/>
      <c r="W98" s="147"/>
      <c r="X98" s="471"/>
      <c r="Y98" s="472"/>
      <c r="Z98" s="144"/>
      <c r="AA98" s="508"/>
      <c r="AB98" s="163"/>
      <c r="AC98" s="148"/>
      <c r="AD98" s="480"/>
      <c r="AE98" s="348" t="s">
        <v>280</v>
      </c>
      <c r="AF98" s="354" t="s">
        <v>79</v>
      </c>
      <c r="AG98" s="484"/>
    </row>
    <row r="99" spans="2:33" s="434" customFormat="1">
      <c r="B99" s="493" t="str">
        <f>IF(AND(Validator!G93=TRUE,Validator!G343=TRUE,Validator!G593=TRUE,Validator!G843=TRUE,Validator!G1093=TRUE,Validator!G1343=TRUE),"Valid","Invalid")</f>
        <v>Valid</v>
      </c>
      <c r="C99" s="144"/>
      <c r="D99" s="478"/>
      <c r="E99" s="479"/>
      <c r="F99" s="580"/>
      <c r="G99" s="480"/>
      <c r="H99" s="580"/>
      <c r="I99" s="483"/>
      <c r="J99" s="146"/>
      <c r="K99" s="297"/>
      <c r="L99" s="541"/>
      <c r="M99" s="469"/>
      <c r="N99" s="262"/>
      <c r="O99" s="348" t="s">
        <v>280</v>
      </c>
      <c r="P99" s="349" t="s">
        <v>79</v>
      </c>
      <c r="Q99" s="476"/>
      <c r="R99" s="467"/>
      <c r="S99" s="467"/>
      <c r="T99" s="476"/>
      <c r="U99" s="490" t="str">
        <f>IF(ISERROR(VLOOKUP($T99, 'Reference data'!$J$2:$K$139, 2, FALSE)),"-",VLOOKUP($T99, 'Reference data'!$J$2:$K$139, 2, FALSE))</f>
        <v>-</v>
      </c>
      <c r="V99" s="147"/>
      <c r="W99" s="147"/>
      <c r="X99" s="471"/>
      <c r="Y99" s="472"/>
      <c r="Z99" s="144"/>
      <c r="AA99" s="508"/>
      <c r="AB99" s="163"/>
      <c r="AC99" s="148"/>
      <c r="AD99" s="480"/>
      <c r="AE99" s="348" t="s">
        <v>280</v>
      </c>
      <c r="AF99" s="354" t="s">
        <v>79</v>
      </c>
      <c r="AG99" s="484"/>
    </row>
    <row r="100" spans="2:33" s="434" customFormat="1">
      <c r="B100" s="493" t="str">
        <f>IF(AND(Validator!G94=TRUE,Validator!G344=TRUE,Validator!G594=TRUE,Validator!G844=TRUE,Validator!G1094=TRUE,Validator!G1344=TRUE),"Valid","Invalid")</f>
        <v>Valid</v>
      </c>
      <c r="C100" s="144"/>
      <c r="D100" s="478"/>
      <c r="E100" s="479"/>
      <c r="F100" s="580"/>
      <c r="G100" s="480"/>
      <c r="H100" s="580"/>
      <c r="I100" s="483"/>
      <c r="J100" s="146"/>
      <c r="K100" s="297"/>
      <c r="L100" s="541"/>
      <c r="M100" s="469"/>
      <c r="N100" s="262"/>
      <c r="O100" s="348" t="s">
        <v>280</v>
      </c>
      <c r="P100" s="349" t="s">
        <v>79</v>
      </c>
      <c r="Q100" s="476"/>
      <c r="R100" s="467"/>
      <c r="S100" s="467"/>
      <c r="T100" s="476"/>
      <c r="U100" s="490" t="str">
        <f>IF(ISERROR(VLOOKUP($T100, 'Reference data'!$J$2:$K$139, 2, FALSE)),"-",VLOOKUP($T100, 'Reference data'!$J$2:$K$139, 2, FALSE))</f>
        <v>-</v>
      </c>
      <c r="V100" s="147"/>
      <c r="W100" s="147"/>
      <c r="X100" s="471"/>
      <c r="Y100" s="472"/>
      <c r="Z100" s="144"/>
      <c r="AA100" s="508"/>
      <c r="AB100" s="163"/>
      <c r="AC100" s="148"/>
      <c r="AD100" s="480"/>
      <c r="AE100" s="348" t="s">
        <v>280</v>
      </c>
      <c r="AF100" s="354" t="s">
        <v>79</v>
      </c>
      <c r="AG100" s="484"/>
    </row>
    <row r="101" spans="2:33" s="434" customFormat="1">
      <c r="B101" s="493" t="str">
        <f>IF(AND(Validator!G95=TRUE,Validator!G345=TRUE,Validator!G595=TRUE,Validator!G845=TRUE,Validator!G1095=TRUE,Validator!G1345=TRUE),"Valid","Invalid")</f>
        <v>Valid</v>
      </c>
      <c r="C101" s="144"/>
      <c r="D101" s="478"/>
      <c r="E101" s="479"/>
      <c r="F101" s="580"/>
      <c r="G101" s="480"/>
      <c r="H101" s="580"/>
      <c r="I101" s="483"/>
      <c r="J101" s="146"/>
      <c r="K101" s="297"/>
      <c r="L101" s="541"/>
      <c r="M101" s="469"/>
      <c r="N101" s="262"/>
      <c r="O101" s="348" t="s">
        <v>280</v>
      </c>
      <c r="P101" s="349" t="s">
        <v>79</v>
      </c>
      <c r="Q101" s="476"/>
      <c r="R101" s="467"/>
      <c r="S101" s="467"/>
      <c r="T101" s="476"/>
      <c r="U101" s="490" t="str">
        <f>IF(ISERROR(VLOOKUP($T101, 'Reference data'!$J$2:$K$139, 2, FALSE)),"-",VLOOKUP($T101, 'Reference data'!$J$2:$K$139, 2, FALSE))</f>
        <v>-</v>
      </c>
      <c r="V101" s="147"/>
      <c r="W101" s="147"/>
      <c r="X101" s="471"/>
      <c r="Y101" s="472"/>
      <c r="Z101" s="144"/>
      <c r="AA101" s="508"/>
      <c r="AB101" s="163"/>
      <c r="AC101" s="148"/>
      <c r="AD101" s="480"/>
      <c r="AE101" s="348" t="s">
        <v>280</v>
      </c>
      <c r="AF101" s="354" t="s">
        <v>79</v>
      </c>
      <c r="AG101" s="484"/>
    </row>
    <row r="102" spans="2:33" s="434" customFormat="1">
      <c r="B102" s="493" t="str">
        <f>IF(AND(Validator!G96=TRUE,Validator!G346=TRUE,Validator!G596=TRUE,Validator!G846=TRUE,Validator!G1096=TRUE,Validator!G1346=TRUE),"Valid","Invalid")</f>
        <v>Valid</v>
      </c>
      <c r="C102" s="144"/>
      <c r="D102" s="478"/>
      <c r="E102" s="479"/>
      <c r="F102" s="580"/>
      <c r="G102" s="480"/>
      <c r="H102" s="580"/>
      <c r="I102" s="483"/>
      <c r="J102" s="146"/>
      <c r="K102" s="297"/>
      <c r="L102" s="541"/>
      <c r="M102" s="469"/>
      <c r="N102" s="262"/>
      <c r="O102" s="348" t="s">
        <v>280</v>
      </c>
      <c r="P102" s="349" t="s">
        <v>79</v>
      </c>
      <c r="Q102" s="476"/>
      <c r="R102" s="467"/>
      <c r="S102" s="467"/>
      <c r="T102" s="476"/>
      <c r="U102" s="490" t="str">
        <f>IF(ISERROR(VLOOKUP($T102, 'Reference data'!$J$2:$K$139, 2, FALSE)),"-",VLOOKUP($T102, 'Reference data'!$J$2:$K$139, 2, FALSE))</f>
        <v>-</v>
      </c>
      <c r="V102" s="147"/>
      <c r="W102" s="147"/>
      <c r="X102" s="471"/>
      <c r="Y102" s="472"/>
      <c r="Z102" s="144"/>
      <c r="AA102" s="508"/>
      <c r="AB102" s="163"/>
      <c r="AC102" s="148"/>
      <c r="AD102" s="480"/>
      <c r="AE102" s="348" t="s">
        <v>280</v>
      </c>
      <c r="AF102" s="354" t="s">
        <v>79</v>
      </c>
      <c r="AG102" s="484"/>
    </row>
    <row r="103" spans="2:33" s="434" customFormat="1">
      <c r="B103" s="493" t="str">
        <f>IF(AND(Validator!G97=TRUE,Validator!G347=TRUE,Validator!G597=TRUE,Validator!G847=TRUE,Validator!G1097=TRUE,Validator!G1347=TRUE),"Valid","Invalid")</f>
        <v>Valid</v>
      </c>
      <c r="C103" s="144"/>
      <c r="D103" s="478"/>
      <c r="E103" s="479"/>
      <c r="F103" s="580"/>
      <c r="G103" s="480"/>
      <c r="H103" s="580"/>
      <c r="I103" s="483"/>
      <c r="J103" s="146"/>
      <c r="K103" s="297"/>
      <c r="L103" s="541"/>
      <c r="M103" s="469"/>
      <c r="N103" s="262"/>
      <c r="O103" s="348" t="s">
        <v>280</v>
      </c>
      <c r="P103" s="349" t="s">
        <v>79</v>
      </c>
      <c r="Q103" s="476"/>
      <c r="R103" s="467"/>
      <c r="S103" s="467"/>
      <c r="T103" s="476"/>
      <c r="U103" s="490" t="str">
        <f>IF(ISERROR(VLOOKUP($T103, 'Reference data'!$J$2:$K$139, 2, FALSE)),"-",VLOOKUP($T103, 'Reference data'!$J$2:$K$139, 2, FALSE))</f>
        <v>-</v>
      </c>
      <c r="V103" s="147"/>
      <c r="W103" s="147"/>
      <c r="X103" s="471"/>
      <c r="Y103" s="472"/>
      <c r="Z103" s="144"/>
      <c r="AA103" s="508"/>
      <c r="AB103" s="163"/>
      <c r="AC103" s="148"/>
      <c r="AD103" s="480"/>
      <c r="AE103" s="348" t="s">
        <v>280</v>
      </c>
      <c r="AF103" s="354" t="s">
        <v>79</v>
      </c>
      <c r="AG103" s="484"/>
    </row>
    <row r="104" spans="2:33" s="434" customFormat="1">
      <c r="B104" s="493" t="str">
        <f>IF(AND(Validator!G98=TRUE,Validator!G348=TRUE,Validator!G598=TRUE,Validator!G848=TRUE,Validator!G1098=TRUE,Validator!G1348=TRUE),"Valid","Invalid")</f>
        <v>Valid</v>
      </c>
      <c r="C104" s="144"/>
      <c r="D104" s="478"/>
      <c r="E104" s="479"/>
      <c r="F104" s="580"/>
      <c r="G104" s="480"/>
      <c r="H104" s="580"/>
      <c r="I104" s="483"/>
      <c r="J104" s="146"/>
      <c r="K104" s="297"/>
      <c r="L104" s="541"/>
      <c r="M104" s="469"/>
      <c r="N104" s="262"/>
      <c r="O104" s="348" t="s">
        <v>280</v>
      </c>
      <c r="P104" s="349" t="s">
        <v>79</v>
      </c>
      <c r="Q104" s="476"/>
      <c r="R104" s="467"/>
      <c r="S104" s="467"/>
      <c r="T104" s="476"/>
      <c r="U104" s="490" t="str">
        <f>IF(ISERROR(VLOOKUP($T104, 'Reference data'!$J$2:$K$139, 2, FALSE)),"-",VLOOKUP($T104, 'Reference data'!$J$2:$K$139, 2, FALSE))</f>
        <v>-</v>
      </c>
      <c r="V104" s="147"/>
      <c r="W104" s="147"/>
      <c r="X104" s="471"/>
      <c r="Y104" s="472"/>
      <c r="Z104" s="144"/>
      <c r="AA104" s="508"/>
      <c r="AB104" s="163"/>
      <c r="AC104" s="148"/>
      <c r="AD104" s="480"/>
      <c r="AE104" s="348" t="s">
        <v>280</v>
      </c>
      <c r="AF104" s="354" t="s">
        <v>79</v>
      </c>
      <c r="AG104" s="484"/>
    </row>
    <row r="105" spans="2:33" s="434" customFormat="1">
      <c r="B105" s="493" t="str">
        <f>IF(AND(Validator!G99=TRUE,Validator!G349=TRUE,Validator!G599=TRUE,Validator!G849=TRUE,Validator!G1099=TRUE,Validator!G1349=TRUE),"Valid","Invalid")</f>
        <v>Valid</v>
      </c>
      <c r="C105" s="144"/>
      <c r="D105" s="478"/>
      <c r="E105" s="479"/>
      <c r="F105" s="580"/>
      <c r="G105" s="480"/>
      <c r="H105" s="580"/>
      <c r="I105" s="483"/>
      <c r="J105" s="146"/>
      <c r="K105" s="297"/>
      <c r="L105" s="541"/>
      <c r="M105" s="469"/>
      <c r="N105" s="262"/>
      <c r="O105" s="348" t="s">
        <v>280</v>
      </c>
      <c r="P105" s="349" t="s">
        <v>79</v>
      </c>
      <c r="Q105" s="476"/>
      <c r="R105" s="467"/>
      <c r="S105" s="467"/>
      <c r="T105" s="476"/>
      <c r="U105" s="490" t="str">
        <f>IF(ISERROR(VLOOKUP($T105, 'Reference data'!$J$2:$K$139, 2, FALSE)),"-",VLOOKUP($T105, 'Reference data'!$J$2:$K$139, 2, FALSE))</f>
        <v>-</v>
      </c>
      <c r="V105" s="147"/>
      <c r="W105" s="147"/>
      <c r="X105" s="471"/>
      <c r="Y105" s="472"/>
      <c r="Z105" s="144"/>
      <c r="AA105" s="508"/>
      <c r="AB105" s="163"/>
      <c r="AC105" s="148"/>
      <c r="AD105" s="480"/>
      <c r="AE105" s="348" t="s">
        <v>280</v>
      </c>
      <c r="AF105" s="354" t="s">
        <v>79</v>
      </c>
      <c r="AG105" s="484"/>
    </row>
    <row r="106" spans="2:33" s="434" customFormat="1">
      <c r="B106" s="493" t="str">
        <f>IF(AND(Validator!G100=TRUE,Validator!G350=TRUE,Validator!G600=TRUE,Validator!G850=TRUE,Validator!G1100=TRUE,Validator!G1350=TRUE),"Valid","Invalid")</f>
        <v>Valid</v>
      </c>
      <c r="C106" s="144"/>
      <c r="D106" s="478"/>
      <c r="E106" s="479"/>
      <c r="F106" s="580"/>
      <c r="G106" s="480"/>
      <c r="H106" s="580"/>
      <c r="I106" s="483"/>
      <c r="J106" s="146"/>
      <c r="K106" s="297"/>
      <c r="L106" s="541"/>
      <c r="M106" s="469"/>
      <c r="N106" s="262"/>
      <c r="O106" s="348" t="s">
        <v>280</v>
      </c>
      <c r="P106" s="349" t="s">
        <v>79</v>
      </c>
      <c r="Q106" s="476"/>
      <c r="R106" s="467"/>
      <c r="S106" s="467"/>
      <c r="T106" s="476"/>
      <c r="U106" s="490" t="str">
        <f>IF(ISERROR(VLOOKUP($T106, 'Reference data'!$J$2:$K$139, 2, FALSE)),"-",VLOOKUP($T106, 'Reference data'!$J$2:$K$139, 2, FALSE))</f>
        <v>-</v>
      </c>
      <c r="V106" s="147"/>
      <c r="W106" s="147"/>
      <c r="X106" s="471"/>
      <c r="Y106" s="472"/>
      <c r="Z106" s="144"/>
      <c r="AA106" s="508"/>
      <c r="AB106" s="163"/>
      <c r="AC106" s="148"/>
      <c r="AD106" s="480"/>
      <c r="AE106" s="348" t="s">
        <v>280</v>
      </c>
      <c r="AF106" s="354" t="s">
        <v>79</v>
      </c>
      <c r="AG106" s="484"/>
    </row>
    <row r="107" spans="2:33" s="434" customFormat="1">
      <c r="B107" s="493" t="str">
        <f>IF(AND(Validator!G101=TRUE,Validator!G351=TRUE,Validator!G601=TRUE,Validator!G851=TRUE,Validator!G1101=TRUE,Validator!G1351=TRUE),"Valid","Invalid")</f>
        <v>Valid</v>
      </c>
      <c r="C107" s="144"/>
      <c r="D107" s="478"/>
      <c r="E107" s="479"/>
      <c r="F107" s="580"/>
      <c r="G107" s="480"/>
      <c r="H107" s="580"/>
      <c r="I107" s="483"/>
      <c r="J107" s="146"/>
      <c r="K107" s="297"/>
      <c r="L107" s="541"/>
      <c r="M107" s="469"/>
      <c r="N107" s="262"/>
      <c r="O107" s="348" t="s">
        <v>280</v>
      </c>
      <c r="P107" s="349" t="s">
        <v>79</v>
      </c>
      <c r="Q107" s="476"/>
      <c r="R107" s="467"/>
      <c r="S107" s="467"/>
      <c r="T107" s="476"/>
      <c r="U107" s="490" t="str">
        <f>IF(ISERROR(VLOOKUP($T107, 'Reference data'!$J$2:$K$139, 2, FALSE)),"-",VLOOKUP($T107, 'Reference data'!$J$2:$K$139, 2, FALSE))</f>
        <v>-</v>
      </c>
      <c r="V107" s="147"/>
      <c r="W107" s="147"/>
      <c r="X107" s="471"/>
      <c r="Y107" s="472"/>
      <c r="Z107" s="144"/>
      <c r="AA107" s="508"/>
      <c r="AB107" s="163"/>
      <c r="AC107" s="148"/>
      <c r="AD107" s="480"/>
      <c r="AE107" s="348" t="s">
        <v>280</v>
      </c>
      <c r="AF107" s="354" t="s">
        <v>79</v>
      </c>
      <c r="AG107" s="484"/>
    </row>
    <row r="108" spans="2:33" s="434" customFormat="1">
      <c r="B108" s="493" t="str">
        <f>IF(AND(Validator!G102=TRUE,Validator!G352=TRUE,Validator!G602=TRUE,Validator!G852=TRUE,Validator!G1102=TRUE,Validator!G1352=TRUE),"Valid","Invalid")</f>
        <v>Valid</v>
      </c>
      <c r="C108" s="144"/>
      <c r="D108" s="478"/>
      <c r="E108" s="479"/>
      <c r="F108" s="580"/>
      <c r="G108" s="480"/>
      <c r="H108" s="580"/>
      <c r="I108" s="483"/>
      <c r="J108" s="146"/>
      <c r="K108" s="297"/>
      <c r="L108" s="541"/>
      <c r="M108" s="469"/>
      <c r="N108" s="262"/>
      <c r="O108" s="348" t="s">
        <v>280</v>
      </c>
      <c r="P108" s="349" t="s">
        <v>79</v>
      </c>
      <c r="Q108" s="476"/>
      <c r="R108" s="467"/>
      <c r="S108" s="467"/>
      <c r="T108" s="476"/>
      <c r="U108" s="490" t="str">
        <f>IF(ISERROR(VLOOKUP($T108, 'Reference data'!$J$2:$K$139, 2, FALSE)),"-",VLOOKUP($T108, 'Reference data'!$J$2:$K$139, 2, FALSE))</f>
        <v>-</v>
      </c>
      <c r="V108" s="147"/>
      <c r="W108" s="147"/>
      <c r="X108" s="471"/>
      <c r="Y108" s="472"/>
      <c r="Z108" s="144"/>
      <c r="AA108" s="508"/>
      <c r="AB108" s="163"/>
      <c r="AC108" s="148"/>
      <c r="AD108" s="480"/>
      <c r="AE108" s="348" t="s">
        <v>280</v>
      </c>
      <c r="AF108" s="354" t="s">
        <v>79</v>
      </c>
      <c r="AG108" s="484"/>
    </row>
    <row r="109" spans="2:33" s="434" customFormat="1">
      <c r="B109" s="493" t="str">
        <f>IF(AND(Validator!G103=TRUE,Validator!G353=TRUE,Validator!G603=TRUE,Validator!G853=TRUE,Validator!G1103=TRUE,Validator!G1353=TRUE),"Valid","Invalid")</f>
        <v>Valid</v>
      </c>
      <c r="C109" s="144"/>
      <c r="D109" s="478"/>
      <c r="E109" s="479"/>
      <c r="F109" s="580"/>
      <c r="G109" s="480"/>
      <c r="H109" s="580"/>
      <c r="I109" s="483"/>
      <c r="J109" s="146"/>
      <c r="K109" s="297"/>
      <c r="L109" s="541"/>
      <c r="M109" s="469"/>
      <c r="N109" s="262"/>
      <c r="O109" s="348" t="s">
        <v>280</v>
      </c>
      <c r="P109" s="349" t="s">
        <v>79</v>
      </c>
      <c r="Q109" s="476"/>
      <c r="R109" s="467"/>
      <c r="S109" s="467"/>
      <c r="T109" s="476"/>
      <c r="U109" s="490" t="str">
        <f>IF(ISERROR(VLOOKUP($T109, 'Reference data'!$J$2:$K$139, 2, FALSE)),"-",VLOOKUP($T109, 'Reference data'!$J$2:$K$139, 2, FALSE))</f>
        <v>-</v>
      </c>
      <c r="V109" s="147"/>
      <c r="W109" s="147"/>
      <c r="X109" s="471"/>
      <c r="Y109" s="472"/>
      <c r="Z109" s="144"/>
      <c r="AA109" s="508"/>
      <c r="AB109" s="163"/>
      <c r="AC109" s="148"/>
      <c r="AD109" s="480"/>
      <c r="AE109" s="348" t="s">
        <v>280</v>
      </c>
      <c r="AF109" s="354" t="s">
        <v>79</v>
      </c>
      <c r="AG109" s="484"/>
    </row>
    <row r="110" spans="2:33" s="434" customFormat="1">
      <c r="B110" s="493" t="str">
        <f>IF(AND(Validator!G104=TRUE,Validator!G354=TRUE,Validator!G604=TRUE,Validator!G854=TRUE,Validator!G1104=TRUE,Validator!G1354=TRUE),"Valid","Invalid")</f>
        <v>Valid</v>
      </c>
      <c r="C110" s="144"/>
      <c r="D110" s="478"/>
      <c r="E110" s="479"/>
      <c r="F110" s="580"/>
      <c r="G110" s="480"/>
      <c r="H110" s="580"/>
      <c r="I110" s="483"/>
      <c r="J110" s="146"/>
      <c r="K110" s="297"/>
      <c r="L110" s="541"/>
      <c r="M110" s="469"/>
      <c r="N110" s="262"/>
      <c r="O110" s="348" t="s">
        <v>280</v>
      </c>
      <c r="P110" s="349" t="s">
        <v>79</v>
      </c>
      <c r="Q110" s="476"/>
      <c r="R110" s="467"/>
      <c r="S110" s="467"/>
      <c r="T110" s="476"/>
      <c r="U110" s="490" t="str">
        <f>IF(ISERROR(VLOOKUP($T110, 'Reference data'!$J$2:$K$139, 2, FALSE)),"-",VLOOKUP($T110, 'Reference data'!$J$2:$K$139, 2, FALSE))</f>
        <v>-</v>
      </c>
      <c r="V110" s="147"/>
      <c r="W110" s="147"/>
      <c r="X110" s="471"/>
      <c r="Y110" s="472"/>
      <c r="Z110" s="144"/>
      <c r="AA110" s="508"/>
      <c r="AB110" s="163"/>
      <c r="AC110" s="148"/>
      <c r="AD110" s="480"/>
      <c r="AE110" s="348" t="s">
        <v>280</v>
      </c>
      <c r="AF110" s="354" t="s">
        <v>79</v>
      </c>
      <c r="AG110" s="484"/>
    </row>
    <row r="111" spans="2:33" s="434" customFormat="1">
      <c r="B111" s="493" t="str">
        <f>IF(AND(Validator!G105=TRUE,Validator!G355=TRUE,Validator!G605=TRUE,Validator!G855=TRUE,Validator!G1105=TRUE,Validator!G1355=TRUE),"Valid","Invalid")</f>
        <v>Valid</v>
      </c>
      <c r="C111" s="144"/>
      <c r="D111" s="478"/>
      <c r="E111" s="479"/>
      <c r="F111" s="580"/>
      <c r="G111" s="480"/>
      <c r="H111" s="580"/>
      <c r="I111" s="483"/>
      <c r="J111" s="146"/>
      <c r="K111" s="297"/>
      <c r="L111" s="541"/>
      <c r="M111" s="469"/>
      <c r="N111" s="262"/>
      <c r="O111" s="348" t="s">
        <v>280</v>
      </c>
      <c r="P111" s="349" t="s">
        <v>79</v>
      </c>
      <c r="Q111" s="476"/>
      <c r="R111" s="467"/>
      <c r="S111" s="467"/>
      <c r="T111" s="476"/>
      <c r="U111" s="490" t="str">
        <f>IF(ISERROR(VLOOKUP($T111, 'Reference data'!$J$2:$K$139, 2, FALSE)),"-",VLOOKUP($T111, 'Reference data'!$J$2:$K$139, 2, FALSE))</f>
        <v>-</v>
      </c>
      <c r="V111" s="147"/>
      <c r="W111" s="147"/>
      <c r="X111" s="471"/>
      <c r="Y111" s="472"/>
      <c r="Z111" s="144"/>
      <c r="AA111" s="508"/>
      <c r="AB111" s="163"/>
      <c r="AC111" s="148"/>
      <c r="AD111" s="480"/>
      <c r="AE111" s="348" t="s">
        <v>280</v>
      </c>
      <c r="AF111" s="354" t="s">
        <v>79</v>
      </c>
      <c r="AG111" s="484"/>
    </row>
    <row r="112" spans="2:33" s="434" customFormat="1">
      <c r="B112" s="493" t="str">
        <f>IF(AND(Validator!G106=TRUE,Validator!G356=TRUE,Validator!G606=TRUE,Validator!G856=TRUE,Validator!G1106=TRUE,Validator!G1356=TRUE),"Valid","Invalid")</f>
        <v>Valid</v>
      </c>
      <c r="C112" s="144"/>
      <c r="D112" s="478"/>
      <c r="E112" s="479"/>
      <c r="F112" s="580"/>
      <c r="G112" s="480"/>
      <c r="H112" s="580"/>
      <c r="I112" s="483"/>
      <c r="J112" s="146"/>
      <c r="K112" s="297"/>
      <c r="L112" s="541"/>
      <c r="M112" s="469"/>
      <c r="N112" s="262"/>
      <c r="O112" s="348" t="s">
        <v>280</v>
      </c>
      <c r="P112" s="349" t="s">
        <v>79</v>
      </c>
      <c r="Q112" s="476"/>
      <c r="R112" s="467"/>
      <c r="S112" s="467"/>
      <c r="T112" s="476"/>
      <c r="U112" s="490" t="str">
        <f>IF(ISERROR(VLOOKUP($T112, 'Reference data'!$J$2:$K$139, 2, FALSE)),"-",VLOOKUP($T112, 'Reference data'!$J$2:$K$139, 2, FALSE))</f>
        <v>-</v>
      </c>
      <c r="V112" s="147"/>
      <c r="W112" s="147"/>
      <c r="X112" s="471"/>
      <c r="Y112" s="472"/>
      <c r="Z112" s="144"/>
      <c r="AA112" s="508"/>
      <c r="AB112" s="163"/>
      <c r="AC112" s="148"/>
      <c r="AD112" s="480"/>
      <c r="AE112" s="348" t="s">
        <v>280</v>
      </c>
      <c r="AF112" s="354" t="s">
        <v>79</v>
      </c>
      <c r="AG112" s="484"/>
    </row>
    <row r="113" spans="2:33" s="434" customFormat="1">
      <c r="B113" s="493" t="str">
        <f>IF(AND(Validator!G107=TRUE,Validator!G357=TRUE,Validator!G607=TRUE,Validator!G857=TRUE,Validator!G1107=TRUE,Validator!G1357=TRUE),"Valid","Invalid")</f>
        <v>Valid</v>
      </c>
      <c r="C113" s="144"/>
      <c r="D113" s="478"/>
      <c r="E113" s="479"/>
      <c r="F113" s="580"/>
      <c r="G113" s="480"/>
      <c r="H113" s="580"/>
      <c r="I113" s="483"/>
      <c r="J113" s="146"/>
      <c r="K113" s="297"/>
      <c r="L113" s="541"/>
      <c r="M113" s="469"/>
      <c r="N113" s="262"/>
      <c r="O113" s="348" t="s">
        <v>280</v>
      </c>
      <c r="P113" s="349" t="s">
        <v>79</v>
      </c>
      <c r="Q113" s="476"/>
      <c r="R113" s="467"/>
      <c r="S113" s="467"/>
      <c r="T113" s="476"/>
      <c r="U113" s="490" t="str">
        <f>IF(ISERROR(VLOOKUP($T113, 'Reference data'!$J$2:$K$139, 2, FALSE)),"-",VLOOKUP($T113, 'Reference data'!$J$2:$K$139, 2, FALSE))</f>
        <v>-</v>
      </c>
      <c r="V113" s="147"/>
      <c r="W113" s="147"/>
      <c r="X113" s="471"/>
      <c r="Y113" s="472"/>
      <c r="Z113" s="144"/>
      <c r="AA113" s="508"/>
      <c r="AB113" s="163"/>
      <c r="AC113" s="148"/>
      <c r="AD113" s="480"/>
      <c r="AE113" s="348" t="s">
        <v>280</v>
      </c>
      <c r="AF113" s="354" t="s">
        <v>79</v>
      </c>
      <c r="AG113" s="484"/>
    </row>
    <row r="114" spans="2:33" s="434" customFormat="1">
      <c r="B114" s="493" t="str">
        <f>IF(AND(Validator!G108=TRUE,Validator!G358=TRUE,Validator!G608=TRUE,Validator!G858=TRUE,Validator!G1108=TRUE,Validator!G1358=TRUE),"Valid","Invalid")</f>
        <v>Valid</v>
      </c>
      <c r="C114" s="144"/>
      <c r="D114" s="478"/>
      <c r="E114" s="479"/>
      <c r="F114" s="580"/>
      <c r="G114" s="480"/>
      <c r="H114" s="580"/>
      <c r="I114" s="483"/>
      <c r="J114" s="146"/>
      <c r="K114" s="297"/>
      <c r="L114" s="541"/>
      <c r="M114" s="469"/>
      <c r="N114" s="262"/>
      <c r="O114" s="348" t="s">
        <v>280</v>
      </c>
      <c r="P114" s="349" t="s">
        <v>79</v>
      </c>
      <c r="Q114" s="476"/>
      <c r="R114" s="467"/>
      <c r="S114" s="467"/>
      <c r="T114" s="476"/>
      <c r="U114" s="490" t="str">
        <f>IF(ISERROR(VLOOKUP($T114, 'Reference data'!$J$2:$K$139, 2, FALSE)),"-",VLOOKUP($T114, 'Reference data'!$J$2:$K$139, 2, FALSE))</f>
        <v>-</v>
      </c>
      <c r="V114" s="147"/>
      <c r="W114" s="147"/>
      <c r="X114" s="471"/>
      <c r="Y114" s="472"/>
      <c r="Z114" s="144"/>
      <c r="AA114" s="508"/>
      <c r="AB114" s="163"/>
      <c r="AC114" s="148"/>
      <c r="AD114" s="480"/>
      <c r="AE114" s="348" t="s">
        <v>280</v>
      </c>
      <c r="AF114" s="354" t="s">
        <v>79</v>
      </c>
      <c r="AG114" s="484"/>
    </row>
    <row r="115" spans="2:33" s="434" customFormat="1">
      <c r="B115" s="493" t="str">
        <f>IF(AND(Validator!G109=TRUE,Validator!G359=TRUE,Validator!G609=TRUE,Validator!G859=TRUE,Validator!G1109=TRUE,Validator!G1359=TRUE),"Valid","Invalid")</f>
        <v>Valid</v>
      </c>
      <c r="C115" s="144"/>
      <c r="D115" s="478"/>
      <c r="E115" s="479"/>
      <c r="F115" s="580"/>
      <c r="G115" s="480"/>
      <c r="H115" s="580"/>
      <c r="I115" s="483"/>
      <c r="J115" s="146"/>
      <c r="K115" s="297"/>
      <c r="L115" s="541"/>
      <c r="M115" s="469"/>
      <c r="N115" s="262"/>
      <c r="O115" s="348" t="s">
        <v>280</v>
      </c>
      <c r="P115" s="349" t="s">
        <v>79</v>
      </c>
      <c r="Q115" s="476"/>
      <c r="R115" s="467"/>
      <c r="S115" s="467"/>
      <c r="T115" s="476"/>
      <c r="U115" s="490" t="str">
        <f>IF(ISERROR(VLOOKUP($T115, 'Reference data'!$J$2:$K$139, 2, FALSE)),"-",VLOOKUP($T115, 'Reference data'!$J$2:$K$139, 2, FALSE))</f>
        <v>-</v>
      </c>
      <c r="V115" s="147"/>
      <c r="W115" s="147"/>
      <c r="X115" s="471"/>
      <c r="Y115" s="472"/>
      <c r="Z115" s="144"/>
      <c r="AA115" s="508"/>
      <c r="AB115" s="163"/>
      <c r="AC115" s="148"/>
      <c r="AD115" s="480"/>
      <c r="AE115" s="348" t="s">
        <v>280</v>
      </c>
      <c r="AF115" s="354" t="s">
        <v>79</v>
      </c>
      <c r="AG115" s="484"/>
    </row>
    <row r="116" spans="2:33" s="434" customFormat="1">
      <c r="B116" s="493" t="str">
        <f>IF(AND(Validator!G110=TRUE,Validator!G360=TRUE,Validator!G610=TRUE,Validator!G860=TRUE,Validator!G1110=TRUE,Validator!G1360=TRUE),"Valid","Invalid")</f>
        <v>Valid</v>
      </c>
      <c r="C116" s="144"/>
      <c r="D116" s="478"/>
      <c r="E116" s="479"/>
      <c r="F116" s="580"/>
      <c r="G116" s="480"/>
      <c r="H116" s="580"/>
      <c r="I116" s="483"/>
      <c r="J116" s="146"/>
      <c r="K116" s="297"/>
      <c r="L116" s="541"/>
      <c r="M116" s="469"/>
      <c r="N116" s="262"/>
      <c r="O116" s="348" t="s">
        <v>280</v>
      </c>
      <c r="P116" s="349" t="s">
        <v>79</v>
      </c>
      <c r="Q116" s="476"/>
      <c r="R116" s="467"/>
      <c r="S116" s="467"/>
      <c r="T116" s="476"/>
      <c r="U116" s="490" t="str">
        <f>IF(ISERROR(VLOOKUP($T116, 'Reference data'!$J$2:$K$139, 2, FALSE)),"-",VLOOKUP($T116, 'Reference data'!$J$2:$K$139, 2, FALSE))</f>
        <v>-</v>
      </c>
      <c r="V116" s="147"/>
      <c r="W116" s="147"/>
      <c r="X116" s="471"/>
      <c r="Y116" s="472"/>
      <c r="Z116" s="144"/>
      <c r="AA116" s="508"/>
      <c r="AB116" s="163"/>
      <c r="AC116" s="148"/>
      <c r="AD116" s="480"/>
      <c r="AE116" s="348" t="s">
        <v>280</v>
      </c>
      <c r="AF116" s="354" t="s">
        <v>79</v>
      </c>
      <c r="AG116" s="484"/>
    </row>
    <row r="117" spans="2:33" s="434" customFormat="1">
      <c r="B117" s="493" t="str">
        <f>IF(AND(Validator!G111=TRUE,Validator!G361=TRUE,Validator!G611=TRUE,Validator!G861=TRUE,Validator!G1111=TRUE,Validator!G1361=TRUE),"Valid","Invalid")</f>
        <v>Valid</v>
      </c>
      <c r="C117" s="144"/>
      <c r="D117" s="478"/>
      <c r="E117" s="479"/>
      <c r="F117" s="580"/>
      <c r="G117" s="480"/>
      <c r="H117" s="580"/>
      <c r="I117" s="483"/>
      <c r="J117" s="146"/>
      <c r="K117" s="297"/>
      <c r="L117" s="541"/>
      <c r="M117" s="469"/>
      <c r="N117" s="262"/>
      <c r="O117" s="348" t="s">
        <v>280</v>
      </c>
      <c r="P117" s="349" t="s">
        <v>79</v>
      </c>
      <c r="Q117" s="476"/>
      <c r="R117" s="467"/>
      <c r="S117" s="467"/>
      <c r="T117" s="476"/>
      <c r="U117" s="490" t="str">
        <f>IF(ISERROR(VLOOKUP($T117, 'Reference data'!$J$2:$K$139, 2, FALSE)),"-",VLOOKUP($T117, 'Reference data'!$J$2:$K$139, 2, FALSE))</f>
        <v>-</v>
      </c>
      <c r="V117" s="147"/>
      <c r="W117" s="147"/>
      <c r="X117" s="471"/>
      <c r="Y117" s="472"/>
      <c r="Z117" s="144"/>
      <c r="AA117" s="508"/>
      <c r="AB117" s="163"/>
      <c r="AC117" s="148"/>
      <c r="AD117" s="480"/>
      <c r="AE117" s="348" t="s">
        <v>280</v>
      </c>
      <c r="AF117" s="354" t="s">
        <v>79</v>
      </c>
      <c r="AG117" s="484"/>
    </row>
    <row r="118" spans="2:33" s="434" customFormat="1">
      <c r="B118" s="493" t="str">
        <f>IF(AND(Validator!G112=TRUE,Validator!G362=TRUE,Validator!G612=TRUE,Validator!G862=TRUE,Validator!G1112=TRUE,Validator!G1362=TRUE),"Valid","Invalid")</f>
        <v>Valid</v>
      </c>
      <c r="C118" s="144"/>
      <c r="D118" s="478"/>
      <c r="E118" s="479"/>
      <c r="F118" s="580"/>
      <c r="G118" s="480"/>
      <c r="H118" s="580"/>
      <c r="I118" s="483"/>
      <c r="J118" s="146"/>
      <c r="K118" s="297"/>
      <c r="L118" s="541"/>
      <c r="M118" s="469"/>
      <c r="N118" s="262"/>
      <c r="O118" s="348" t="s">
        <v>280</v>
      </c>
      <c r="P118" s="349" t="s">
        <v>79</v>
      </c>
      <c r="Q118" s="476"/>
      <c r="R118" s="467"/>
      <c r="S118" s="467"/>
      <c r="T118" s="476"/>
      <c r="U118" s="490" t="str">
        <f>IF(ISERROR(VLOOKUP($T118, 'Reference data'!$J$2:$K$139, 2, FALSE)),"-",VLOOKUP($T118, 'Reference data'!$J$2:$K$139, 2, FALSE))</f>
        <v>-</v>
      </c>
      <c r="V118" s="147"/>
      <c r="W118" s="147"/>
      <c r="X118" s="471"/>
      <c r="Y118" s="472"/>
      <c r="Z118" s="144"/>
      <c r="AA118" s="508"/>
      <c r="AB118" s="163"/>
      <c r="AC118" s="148"/>
      <c r="AD118" s="480"/>
      <c r="AE118" s="348" t="s">
        <v>280</v>
      </c>
      <c r="AF118" s="354" t="s">
        <v>79</v>
      </c>
      <c r="AG118" s="484"/>
    </row>
    <row r="119" spans="2:33" s="434" customFormat="1">
      <c r="B119" s="493" t="str">
        <f>IF(AND(Validator!G113=TRUE,Validator!G363=TRUE,Validator!G613=TRUE,Validator!G863=TRUE,Validator!G1113=TRUE,Validator!G1363=TRUE),"Valid","Invalid")</f>
        <v>Valid</v>
      </c>
      <c r="C119" s="144"/>
      <c r="D119" s="478"/>
      <c r="E119" s="479"/>
      <c r="F119" s="580"/>
      <c r="G119" s="480"/>
      <c r="H119" s="580"/>
      <c r="I119" s="483"/>
      <c r="J119" s="146"/>
      <c r="K119" s="297"/>
      <c r="L119" s="541"/>
      <c r="M119" s="469"/>
      <c r="N119" s="262"/>
      <c r="O119" s="348" t="s">
        <v>280</v>
      </c>
      <c r="P119" s="349" t="s">
        <v>79</v>
      </c>
      <c r="Q119" s="476"/>
      <c r="R119" s="467"/>
      <c r="S119" s="467"/>
      <c r="T119" s="476"/>
      <c r="U119" s="490" t="str">
        <f>IF(ISERROR(VLOOKUP($T119, 'Reference data'!$J$2:$K$139, 2, FALSE)),"-",VLOOKUP($T119, 'Reference data'!$J$2:$K$139, 2, FALSE))</f>
        <v>-</v>
      </c>
      <c r="V119" s="147"/>
      <c r="W119" s="147"/>
      <c r="X119" s="471"/>
      <c r="Y119" s="472"/>
      <c r="Z119" s="144"/>
      <c r="AA119" s="508"/>
      <c r="AB119" s="163"/>
      <c r="AC119" s="148"/>
      <c r="AD119" s="480"/>
      <c r="AE119" s="348" t="s">
        <v>280</v>
      </c>
      <c r="AF119" s="354" t="s">
        <v>79</v>
      </c>
      <c r="AG119" s="484"/>
    </row>
    <row r="120" spans="2:33" s="434" customFormat="1">
      <c r="B120" s="493" t="str">
        <f>IF(AND(Validator!G114=TRUE,Validator!G364=TRUE,Validator!G614=TRUE,Validator!G864=TRUE,Validator!G1114=TRUE,Validator!G1364=TRUE),"Valid","Invalid")</f>
        <v>Valid</v>
      </c>
      <c r="C120" s="144"/>
      <c r="D120" s="478"/>
      <c r="E120" s="479"/>
      <c r="F120" s="580"/>
      <c r="G120" s="480"/>
      <c r="H120" s="580"/>
      <c r="I120" s="483"/>
      <c r="J120" s="146"/>
      <c r="K120" s="297"/>
      <c r="L120" s="541"/>
      <c r="M120" s="469"/>
      <c r="N120" s="262"/>
      <c r="O120" s="348" t="s">
        <v>280</v>
      </c>
      <c r="P120" s="349" t="s">
        <v>79</v>
      </c>
      <c r="Q120" s="476"/>
      <c r="R120" s="467"/>
      <c r="S120" s="467"/>
      <c r="T120" s="476"/>
      <c r="U120" s="490" t="str">
        <f>IF(ISERROR(VLOOKUP($T120, 'Reference data'!$J$2:$K$139, 2, FALSE)),"-",VLOOKUP($T120, 'Reference data'!$J$2:$K$139, 2, FALSE))</f>
        <v>-</v>
      </c>
      <c r="V120" s="147"/>
      <c r="W120" s="147"/>
      <c r="X120" s="471"/>
      <c r="Y120" s="472"/>
      <c r="Z120" s="144"/>
      <c r="AA120" s="508"/>
      <c r="AB120" s="163"/>
      <c r="AC120" s="148"/>
      <c r="AD120" s="480"/>
      <c r="AE120" s="348" t="s">
        <v>280</v>
      </c>
      <c r="AF120" s="354" t="s">
        <v>79</v>
      </c>
      <c r="AG120" s="484"/>
    </row>
    <row r="121" spans="2:33" s="434" customFormat="1">
      <c r="B121" s="493" t="str">
        <f>IF(AND(Validator!G115=TRUE,Validator!G365=TRUE,Validator!G615=TRUE,Validator!G865=TRUE,Validator!G1115=TRUE,Validator!G1365=TRUE),"Valid","Invalid")</f>
        <v>Valid</v>
      </c>
      <c r="C121" s="144"/>
      <c r="D121" s="478"/>
      <c r="E121" s="479"/>
      <c r="F121" s="580"/>
      <c r="G121" s="480"/>
      <c r="H121" s="580"/>
      <c r="I121" s="483"/>
      <c r="J121" s="146"/>
      <c r="K121" s="297"/>
      <c r="L121" s="541"/>
      <c r="M121" s="469"/>
      <c r="N121" s="262"/>
      <c r="O121" s="348" t="s">
        <v>280</v>
      </c>
      <c r="P121" s="349" t="s">
        <v>79</v>
      </c>
      <c r="Q121" s="476"/>
      <c r="R121" s="467"/>
      <c r="S121" s="467"/>
      <c r="T121" s="476"/>
      <c r="U121" s="490" t="str">
        <f>IF(ISERROR(VLOOKUP($T121, 'Reference data'!$J$2:$K$139, 2, FALSE)),"-",VLOOKUP($T121, 'Reference data'!$J$2:$K$139, 2, FALSE))</f>
        <v>-</v>
      </c>
      <c r="V121" s="147"/>
      <c r="W121" s="147"/>
      <c r="X121" s="471"/>
      <c r="Y121" s="472"/>
      <c r="Z121" s="144"/>
      <c r="AA121" s="508"/>
      <c r="AB121" s="163"/>
      <c r="AC121" s="148"/>
      <c r="AD121" s="480"/>
      <c r="AE121" s="348" t="s">
        <v>280</v>
      </c>
      <c r="AF121" s="354" t="s">
        <v>79</v>
      </c>
      <c r="AG121" s="484"/>
    </row>
    <row r="122" spans="2:33" s="434" customFormat="1">
      <c r="B122" s="493" t="str">
        <f>IF(AND(Validator!G116=TRUE,Validator!G366=TRUE,Validator!G616=TRUE,Validator!G866=TRUE,Validator!G1116=TRUE,Validator!G1366=TRUE),"Valid","Invalid")</f>
        <v>Valid</v>
      </c>
      <c r="C122" s="144"/>
      <c r="D122" s="478"/>
      <c r="E122" s="479"/>
      <c r="F122" s="580"/>
      <c r="G122" s="480"/>
      <c r="H122" s="580"/>
      <c r="I122" s="483"/>
      <c r="J122" s="146"/>
      <c r="K122" s="297"/>
      <c r="L122" s="541"/>
      <c r="M122" s="469"/>
      <c r="N122" s="262"/>
      <c r="O122" s="348" t="s">
        <v>280</v>
      </c>
      <c r="P122" s="349" t="s">
        <v>79</v>
      </c>
      <c r="Q122" s="476"/>
      <c r="R122" s="467"/>
      <c r="S122" s="467"/>
      <c r="T122" s="476"/>
      <c r="U122" s="490" t="str">
        <f>IF(ISERROR(VLOOKUP($T122, 'Reference data'!$J$2:$K$139, 2, FALSE)),"-",VLOOKUP($T122, 'Reference data'!$J$2:$K$139, 2, FALSE))</f>
        <v>-</v>
      </c>
      <c r="V122" s="147"/>
      <c r="W122" s="147"/>
      <c r="X122" s="471"/>
      <c r="Y122" s="472"/>
      <c r="Z122" s="144"/>
      <c r="AA122" s="508"/>
      <c r="AB122" s="163"/>
      <c r="AC122" s="148"/>
      <c r="AD122" s="480"/>
      <c r="AE122" s="348" t="s">
        <v>280</v>
      </c>
      <c r="AF122" s="354" t="s">
        <v>79</v>
      </c>
      <c r="AG122" s="484"/>
    </row>
    <row r="123" spans="2:33" s="434" customFormat="1">
      <c r="B123" s="493" t="str">
        <f>IF(AND(Validator!G117=TRUE,Validator!G367=TRUE,Validator!G617=TRUE,Validator!G867=TRUE,Validator!G1117=TRUE,Validator!G1367=TRUE),"Valid","Invalid")</f>
        <v>Valid</v>
      </c>
      <c r="C123" s="144"/>
      <c r="D123" s="478"/>
      <c r="E123" s="479"/>
      <c r="F123" s="580"/>
      <c r="G123" s="480"/>
      <c r="H123" s="580"/>
      <c r="I123" s="483"/>
      <c r="J123" s="146"/>
      <c r="K123" s="297"/>
      <c r="L123" s="541"/>
      <c r="M123" s="469"/>
      <c r="N123" s="262"/>
      <c r="O123" s="348" t="s">
        <v>280</v>
      </c>
      <c r="P123" s="349" t="s">
        <v>79</v>
      </c>
      <c r="Q123" s="476"/>
      <c r="R123" s="467"/>
      <c r="S123" s="467"/>
      <c r="T123" s="476"/>
      <c r="U123" s="490" t="str">
        <f>IF(ISERROR(VLOOKUP($T123, 'Reference data'!$J$2:$K$139, 2, FALSE)),"-",VLOOKUP($T123, 'Reference data'!$J$2:$K$139, 2, FALSE))</f>
        <v>-</v>
      </c>
      <c r="V123" s="147"/>
      <c r="W123" s="147"/>
      <c r="X123" s="471"/>
      <c r="Y123" s="472"/>
      <c r="Z123" s="144"/>
      <c r="AA123" s="508"/>
      <c r="AB123" s="163"/>
      <c r="AC123" s="148"/>
      <c r="AD123" s="480"/>
      <c r="AE123" s="348" t="s">
        <v>280</v>
      </c>
      <c r="AF123" s="354" t="s">
        <v>79</v>
      </c>
      <c r="AG123" s="484"/>
    </row>
    <row r="124" spans="2:33" s="434" customFormat="1">
      <c r="B124" s="493" t="str">
        <f>IF(AND(Validator!G118=TRUE,Validator!G368=TRUE,Validator!G618=TRUE,Validator!G868=TRUE,Validator!G1118=TRUE,Validator!G1368=TRUE),"Valid","Invalid")</f>
        <v>Valid</v>
      </c>
      <c r="C124" s="144"/>
      <c r="D124" s="478"/>
      <c r="E124" s="479"/>
      <c r="F124" s="580"/>
      <c r="G124" s="480"/>
      <c r="H124" s="580"/>
      <c r="I124" s="483"/>
      <c r="J124" s="146"/>
      <c r="K124" s="297"/>
      <c r="L124" s="541"/>
      <c r="M124" s="469"/>
      <c r="N124" s="262"/>
      <c r="O124" s="348" t="s">
        <v>280</v>
      </c>
      <c r="P124" s="349" t="s">
        <v>79</v>
      </c>
      <c r="Q124" s="476"/>
      <c r="R124" s="467"/>
      <c r="S124" s="467"/>
      <c r="T124" s="476"/>
      <c r="U124" s="490" t="str">
        <f>IF(ISERROR(VLOOKUP($T124, 'Reference data'!$J$2:$K$139, 2, FALSE)),"-",VLOOKUP($T124, 'Reference data'!$J$2:$K$139, 2, FALSE))</f>
        <v>-</v>
      </c>
      <c r="V124" s="147"/>
      <c r="W124" s="147"/>
      <c r="X124" s="471"/>
      <c r="Y124" s="472"/>
      <c r="Z124" s="144"/>
      <c r="AA124" s="508"/>
      <c r="AB124" s="163"/>
      <c r="AC124" s="148"/>
      <c r="AD124" s="480"/>
      <c r="AE124" s="348" t="s">
        <v>280</v>
      </c>
      <c r="AF124" s="354" t="s">
        <v>79</v>
      </c>
      <c r="AG124" s="484"/>
    </row>
    <row r="125" spans="2:33" s="434" customFormat="1">
      <c r="B125" s="493" t="str">
        <f>IF(AND(Validator!G119=TRUE,Validator!G369=TRUE,Validator!G619=TRUE,Validator!G869=TRUE,Validator!G1119=TRUE,Validator!G1369=TRUE),"Valid","Invalid")</f>
        <v>Valid</v>
      </c>
      <c r="C125" s="144"/>
      <c r="D125" s="478"/>
      <c r="E125" s="479"/>
      <c r="F125" s="580"/>
      <c r="G125" s="480"/>
      <c r="H125" s="580"/>
      <c r="I125" s="483"/>
      <c r="J125" s="146"/>
      <c r="K125" s="297"/>
      <c r="L125" s="541"/>
      <c r="M125" s="469"/>
      <c r="N125" s="262"/>
      <c r="O125" s="348" t="s">
        <v>280</v>
      </c>
      <c r="P125" s="349" t="s">
        <v>79</v>
      </c>
      <c r="Q125" s="476"/>
      <c r="R125" s="467"/>
      <c r="S125" s="467"/>
      <c r="T125" s="476"/>
      <c r="U125" s="490" t="str">
        <f>IF(ISERROR(VLOOKUP($T125, 'Reference data'!$J$2:$K$139, 2, FALSE)),"-",VLOOKUP($T125, 'Reference data'!$J$2:$K$139, 2, FALSE))</f>
        <v>-</v>
      </c>
      <c r="V125" s="147"/>
      <c r="W125" s="147"/>
      <c r="X125" s="471"/>
      <c r="Y125" s="472"/>
      <c r="Z125" s="144"/>
      <c r="AA125" s="508"/>
      <c r="AB125" s="163"/>
      <c r="AC125" s="148"/>
      <c r="AD125" s="480"/>
      <c r="AE125" s="348" t="s">
        <v>280</v>
      </c>
      <c r="AF125" s="354" t="s">
        <v>79</v>
      </c>
      <c r="AG125" s="484"/>
    </row>
    <row r="126" spans="2:33" s="434" customFormat="1">
      <c r="B126" s="493" t="str">
        <f>IF(AND(Validator!G120=TRUE,Validator!G370=TRUE,Validator!G620=TRUE,Validator!G870=TRUE,Validator!G1120=TRUE,Validator!G1370=TRUE),"Valid","Invalid")</f>
        <v>Valid</v>
      </c>
      <c r="C126" s="144"/>
      <c r="D126" s="478"/>
      <c r="E126" s="479"/>
      <c r="F126" s="580"/>
      <c r="G126" s="480"/>
      <c r="H126" s="580"/>
      <c r="I126" s="483"/>
      <c r="J126" s="146"/>
      <c r="K126" s="297"/>
      <c r="L126" s="541"/>
      <c r="M126" s="469"/>
      <c r="N126" s="262"/>
      <c r="O126" s="348" t="s">
        <v>280</v>
      </c>
      <c r="P126" s="349" t="s">
        <v>79</v>
      </c>
      <c r="Q126" s="476"/>
      <c r="R126" s="467"/>
      <c r="S126" s="467"/>
      <c r="T126" s="476"/>
      <c r="U126" s="490" t="str">
        <f>IF(ISERROR(VLOOKUP($T126, 'Reference data'!$J$2:$K$139, 2, FALSE)),"-",VLOOKUP($T126, 'Reference data'!$J$2:$K$139, 2, FALSE))</f>
        <v>-</v>
      </c>
      <c r="V126" s="147"/>
      <c r="W126" s="147"/>
      <c r="X126" s="471"/>
      <c r="Y126" s="472"/>
      <c r="Z126" s="144"/>
      <c r="AA126" s="508"/>
      <c r="AB126" s="163"/>
      <c r="AC126" s="148"/>
      <c r="AD126" s="480"/>
      <c r="AE126" s="348" t="s">
        <v>280</v>
      </c>
      <c r="AF126" s="354" t="s">
        <v>79</v>
      </c>
      <c r="AG126" s="484"/>
    </row>
    <row r="127" spans="2:33" s="434" customFormat="1">
      <c r="B127" s="493" t="str">
        <f>IF(AND(Validator!G121=TRUE,Validator!G371=TRUE,Validator!G621=TRUE,Validator!G871=TRUE,Validator!G1121=TRUE,Validator!G1371=TRUE),"Valid","Invalid")</f>
        <v>Valid</v>
      </c>
      <c r="C127" s="144"/>
      <c r="D127" s="478"/>
      <c r="E127" s="479"/>
      <c r="F127" s="580"/>
      <c r="G127" s="480"/>
      <c r="H127" s="580"/>
      <c r="I127" s="483"/>
      <c r="J127" s="146"/>
      <c r="K127" s="297"/>
      <c r="L127" s="541"/>
      <c r="M127" s="469"/>
      <c r="N127" s="262"/>
      <c r="O127" s="348" t="s">
        <v>280</v>
      </c>
      <c r="P127" s="349" t="s">
        <v>79</v>
      </c>
      <c r="Q127" s="476"/>
      <c r="R127" s="467"/>
      <c r="S127" s="467"/>
      <c r="T127" s="476"/>
      <c r="U127" s="490" t="str">
        <f>IF(ISERROR(VLOOKUP($T127, 'Reference data'!$J$2:$K$139, 2, FALSE)),"-",VLOOKUP($T127, 'Reference data'!$J$2:$K$139, 2, FALSE))</f>
        <v>-</v>
      </c>
      <c r="V127" s="147"/>
      <c r="W127" s="147"/>
      <c r="X127" s="471"/>
      <c r="Y127" s="472"/>
      <c r="Z127" s="144"/>
      <c r="AA127" s="508"/>
      <c r="AB127" s="163"/>
      <c r="AC127" s="148"/>
      <c r="AD127" s="480"/>
      <c r="AE127" s="348" t="s">
        <v>280</v>
      </c>
      <c r="AF127" s="354" t="s">
        <v>79</v>
      </c>
      <c r="AG127" s="484"/>
    </row>
    <row r="128" spans="2:33" s="434" customFormat="1">
      <c r="B128" s="493" t="str">
        <f>IF(AND(Validator!G122=TRUE,Validator!G372=TRUE,Validator!G622=TRUE,Validator!G872=TRUE,Validator!G1122=TRUE,Validator!G1372=TRUE),"Valid","Invalid")</f>
        <v>Valid</v>
      </c>
      <c r="C128" s="144"/>
      <c r="D128" s="478"/>
      <c r="E128" s="479"/>
      <c r="F128" s="580"/>
      <c r="G128" s="480"/>
      <c r="H128" s="580"/>
      <c r="I128" s="483"/>
      <c r="J128" s="146"/>
      <c r="K128" s="297"/>
      <c r="L128" s="541"/>
      <c r="M128" s="469"/>
      <c r="N128" s="262"/>
      <c r="O128" s="348" t="s">
        <v>280</v>
      </c>
      <c r="P128" s="349" t="s">
        <v>79</v>
      </c>
      <c r="Q128" s="476"/>
      <c r="R128" s="467"/>
      <c r="S128" s="467"/>
      <c r="T128" s="476"/>
      <c r="U128" s="490" t="str">
        <f>IF(ISERROR(VLOOKUP($T128, 'Reference data'!$J$2:$K$139, 2, FALSE)),"-",VLOOKUP($T128, 'Reference data'!$J$2:$K$139, 2, FALSE))</f>
        <v>-</v>
      </c>
      <c r="V128" s="147"/>
      <c r="W128" s="147"/>
      <c r="X128" s="471"/>
      <c r="Y128" s="472"/>
      <c r="Z128" s="144"/>
      <c r="AA128" s="508"/>
      <c r="AB128" s="163"/>
      <c r="AC128" s="148"/>
      <c r="AD128" s="480"/>
      <c r="AE128" s="348" t="s">
        <v>280</v>
      </c>
      <c r="AF128" s="354" t="s">
        <v>79</v>
      </c>
      <c r="AG128" s="484"/>
    </row>
    <row r="129" spans="2:33" s="434" customFormat="1">
      <c r="B129" s="493" t="str">
        <f>IF(AND(Validator!G123=TRUE,Validator!G373=TRUE,Validator!G623=TRUE,Validator!G873=TRUE,Validator!G1123=TRUE,Validator!G1373=TRUE),"Valid","Invalid")</f>
        <v>Valid</v>
      </c>
      <c r="C129" s="144"/>
      <c r="D129" s="478"/>
      <c r="E129" s="479"/>
      <c r="F129" s="580"/>
      <c r="G129" s="480"/>
      <c r="H129" s="580"/>
      <c r="I129" s="483"/>
      <c r="J129" s="146"/>
      <c r="K129" s="297"/>
      <c r="L129" s="541"/>
      <c r="M129" s="469"/>
      <c r="N129" s="262"/>
      <c r="O129" s="348" t="s">
        <v>280</v>
      </c>
      <c r="P129" s="349" t="s">
        <v>79</v>
      </c>
      <c r="Q129" s="476"/>
      <c r="R129" s="467"/>
      <c r="S129" s="467"/>
      <c r="T129" s="476"/>
      <c r="U129" s="490" t="str">
        <f>IF(ISERROR(VLOOKUP($T129, 'Reference data'!$J$2:$K$139, 2, FALSE)),"-",VLOOKUP($T129, 'Reference data'!$J$2:$K$139, 2, FALSE))</f>
        <v>-</v>
      </c>
      <c r="V129" s="147"/>
      <c r="W129" s="147"/>
      <c r="X129" s="471"/>
      <c r="Y129" s="472"/>
      <c r="Z129" s="144"/>
      <c r="AA129" s="508"/>
      <c r="AB129" s="163"/>
      <c r="AC129" s="148"/>
      <c r="AD129" s="480"/>
      <c r="AE129" s="348" t="s">
        <v>280</v>
      </c>
      <c r="AF129" s="354" t="s">
        <v>79</v>
      </c>
      <c r="AG129" s="484"/>
    </row>
    <row r="130" spans="2:33" s="434" customFormat="1">
      <c r="B130" s="493" t="str">
        <f>IF(AND(Validator!G124=TRUE,Validator!G374=TRUE,Validator!G624=TRUE,Validator!G874=TRUE,Validator!G1124=TRUE,Validator!G1374=TRUE),"Valid","Invalid")</f>
        <v>Valid</v>
      </c>
      <c r="C130" s="144"/>
      <c r="D130" s="478"/>
      <c r="E130" s="479"/>
      <c r="F130" s="580"/>
      <c r="G130" s="480"/>
      <c r="H130" s="580"/>
      <c r="I130" s="483"/>
      <c r="J130" s="146"/>
      <c r="K130" s="297"/>
      <c r="L130" s="541"/>
      <c r="M130" s="469"/>
      <c r="N130" s="262"/>
      <c r="O130" s="348" t="s">
        <v>280</v>
      </c>
      <c r="P130" s="349" t="s">
        <v>79</v>
      </c>
      <c r="Q130" s="476"/>
      <c r="R130" s="467"/>
      <c r="S130" s="467"/>
      <c r="T130" s="476"/>
      <c r="U130" s="490" t="str">
        <f>IF(ISERROR(VLOOKUP($T130, 'Reference data'!$J$2:$K$139, 2, FALSE)),"-",VLOOKUP($T130, 'Reference data'!$J$2:$K$139, 2, FALSE))</f>
        <v>-</v>
      </c>
      <c r="V130" s="147"/>
      <c r="W130" s="147"/>
      <c r="X130" s="471"/>
      <c r="Y130" s="472"/>
      <c r="Z130" s="144"/>
      <c r="AA130" s="508"/>
      <c r="AB130" s="163"/>
      <c r="AC130" s="148"/>
      <c r="AD130" s="480"/>
      <c r="AE130" s="348" t="s">
        <v>280</v>
      </c>
      <c r="AF130" s="354" t="s">
        <v>79</v>
      </c>
      <c r="AG130" s="484"/>
    </row>
    <row r="131" spans="2:33" s="434" customFormat="1">
      <c r="B131" s="493" t="str">
        <f>IF(AND(Validator!G125=TRUE,Validator!G375=TRUE,Validator!G625=TRUE,Validator!G875=TRUE,Validator!G1125=TRUE,Validator!G1375=TRUE),"Valid","Invalid")</f>
        <v>Valid</v>
      </c>
      <c r="C131" s="144"/>
      <c r="D131" s="478"/>
      <c r="E131" s="479"/>
      <c r="F131" s="580"/>
      <c r="G131" s="480"/>
      <c r="H131" s="580"/>
      <c r="I131" s="483"/>
      <c r="J131" s="146"/>
      <c r="K131" s="297"/>
      <c r="L131" s="541"/>
      <c r="M131" s="469"/>
      <c r="N131" s="262"/>
      <c r="O131" s="348" t="s">
        <v>280</v>
      </c>
      <c r="P131" s="349" t="s">
        <v>79</v>
      </c>
      <c r="Q131" s="476"/>
      <c r="R131" s="467"/>
      <c r="S131" s="467"/>
      <c r="T131" s="476"/>
      <c r="U131" s="490" t="str">
        <f>IF(ISERROR(VLOOKUP($T131, 'Reference data'!$J$2:$K$139, 2, FALSE)),"-",VLOOKUP($T131, 'Reference data'!$J$2:$K$139, 2, FALSE))</f>
        <v>-</v>
      </c>
      <c r="V131" s="147"/>
      <c r="W131" s="147"/>
      <c r="X131" s="471"/>
      <c r="Y131" s="472"/>
      <c r="Z131" s="144"/>
      <c r="AA131" s="508"/>
      <c r="AB131" s="163"/>
      <c r="AC131" s="148"/>
      <c r="AD131" s="480"/>
      <c r="AE131" s="348" t="s">
        <v>280</v>
      </c>
      <c r="AF131" s="354" t="s">
        <v>79</v>
      </c>
      <c r="AG131" s="484"/>
    </row>
    <row r="132" spans="2:33" s="434" customFormat="1">
      <c r="B132" s="493" t="str">
        <f>IF(AND(Validator!G126=TRUE,Validator!G376=TRUE,Validator!G626=TRUE,Validator!G876=TRUE,Validator!G1126=TRUE,Validator!G1376=TRUE),"Valid","Invalid")</f>
        <v>Valid</v>
      </c>
      <c r="C132" s="144"/>
      <c r="D132" s="478"/>
      <c r="E132" s="479"/>
      <c r="F132" s="580"/>
      <c r="G132" s="480"/>
      <c r="H132" s="580"/>
      <c r="I132" s="483"/>
      <c r="J132" s="146"/>
      <c r="K132" s="297"/>
      <c r="L132" s="541"/>
      <c r="M132" s="469"/>
      <c r="N132" s="262"/>
      <c r="O132" s="348" t="s">
        <v>280</v>
      </c>
      <c r="P132" s="349" t="s">
        <v>79</v>
      </c>
      <c r="Q132" s="476"/>
      <c r="R132" s="467"/>
      <c r="S132" s="467"/>
      <c r="T132" s="476"/>
      <c r="U132" s="490" t="str">
        <f>IF(ISERROR(VLOOKUP($T132, 'Reference data'!$J$2:$K$139, 2, FALSE)),"-",VLOOKUP($T132, 'Reference data'!$J$2:$K$139, 2, FALSE))</f>
        <v>-</v>
      </c>
      <c r="V132" s="147"/>
      <c r="W132" s="147"/>
      <c r="X132" s="471"/>
      <c r="Y132" s="472"/>
      <c r="Z132" s="144"/>
      <c r="AA132" s="508"/>
      <c r="AB132" s="163"/>
      <c r="AC132" s="148"/>
      <c r="AD132" s="480"/>
      <c r="AE132" s="348" t="s">
        <v>280</v>
      </c>
      <c r="AF132" s="354" t="s">
        <v>79</v>
      </c>
      <c r="AG132" s="484"/>
    </row>
    <row r="133" spans="2:33" s="434" customFormat="1">
      <c r="B133" s="493" t="str">
        <f>IF(AND(Validator!G127=TRUE,Validator!G377=TRUE,Validator!G627=TRUE,Validator!G877=TRUE,Validator!G1127=TRUE,Validator!G1377=TRUE),"Valid","Invalid")</f>
        <v>Valid</v>
      </c>
      <c r="C133" s="144"/>
      <c r="D133" s="478"/>
      <c r="E133" s="479"/>
      <c r="F133" s="580"/>
      <c r="G133" s="480"/>
      <c r="H133" s="580"/>
      <c r="I133" s="483"/>
      <c r="J133" s="146"/>
      <c r="K133" s="297"/>
      <c r="L133" s="541"/>
      <c r="M133" s="469"/>
      <c r="N133" s="262"/>
      <c r="O133" s="348" t="s">
        <v>280</v>
      </c>
      <c r="P133" s="349" t="s">
        <v>79</v>
      </c>
      <c r="Q133" s="476"/>
      <c r="R133" s="467"/>
      <c r="S133" s="467"/>
      <c r="T133" s="476"/>
      <c r="U133" s="490" t="str">
        <f>IF(ISERROR(VLOOKUP($T133, 'Reference data'!$J$2:$K$139, 2, FALSE)),"-",VLOOKUP($T133, 'Reference data'!$J$2:$K$139, 2, FALSE))</f>
        <v>-</v>
      </c>
      <c r="V133" s="147"/>
      <c r="W133" s="147"/>
      <c r="X133" s="471"/>
      <c r="Y133" s="472"/>
      <c r="Z133" s="144"/>
      <c r="AA133" s="508"/>
      <c r="AB133" s="163"/>
      <c r="AC133" s="148"/>
      <c r="AD133" s="480"/>
      <c r="AE133" s="348" t="s">
        <v>280</v>
      </c>
      <c r="AF133" s="354" t="s">
        <v>79</v>
      </c>
      <c r="AG133" s="484"/>
    </row>
    <row r="134" spans="2:33" s="434" customFormat="1">
      <c r="B134" s="493" t="str">
        <f>IF(AND(Validator!G128=TRUE,Validator!G378=TRUE,Validator!G628=TRUE,Validator!G878=TRUE,Validator!G1128=TRUE,Validator!G1378=TRUE),"Valid","Invalid")</f>
        <v>Valid</v>
      </c>
      <c r="C134" s="144"/>
      <c r="D134" s="478"/>
      <c r="E134" s="479"/>
      <c r="F134" s="580"/>
      <c r="G134" s="480"/>
      <c r="H134" s="580"/>
      <c r="I134" s="483"/>
      <c r="J134" s="146"/>
      <c r="K134" s="297"/>
      <c r="L134" s="541"/>
      <c r="M134" s="469"/>
      <c r="N134" s="262"/>
      <c r="O134" s="348" t="s">
        <v>280</v>
      </c>
      <c r="P134" s="349" t="s">
        <v>79</v>
      </c>
      <c r="Q134" s="476"/>
      <c r="R134" s="467"/>
      <c r="S134" s="467"/>
      <c r="T134" s="476"/>
      <c r="U134" s="490" t="str">
        <f>IF(ISERROR(VLOOKUP($T134, 'Reference data'!$J$2:$K$139, 2, FALSE)),"-",VLOOKUP($T134, 'Reference data'!$J$2:$K$139, 2, FALSE))</f>
        <v>-</v>
      </c>
      <c r="V134" s="147"/>
      <c r="W134" s="147"/>
      <c r="X134" s="471"/>
      <c r="Y134" s="472"/>
      <c r="Z134" s="144"/>
      <c r="AA134" s="508"/>
      <c r="AB134" s="163"/>
      <c r="AC134" s="148"/>
      <c r="AD134" s="480"/>
      <c r="AE134" s="348" t="s">
        <v>280</v>
      </c>
      <c r="AF134" s="354" t="s">
        <v>79</v>
      </c>
      <c r="AG134" s="484"/>
    </row>
    <row r="135" spans="2:33" s="434" customFormat="1">
      <c r="B135" s="493" t="str">
        <f>IF(AND(Validator!G129=TRUE,Validator!G379=TRUE,Validator!G629=TRUE,Validator!G879=TRUE,Validator!G1129=TRUE,Validator!G1379=TRUE),"Valid","Invalid")</f>
        <v>Valid</v>
      </c>
      <c r="C135" s="144"/>
      <c r="D135" s="478"/>
      <c r="E135" s="479"/>
      <c r="F135" s="580"/>
      <c r="G135" s="480"/>
      <c r="H135" s="580"/>
      <c r="I135" s="483"/>
      <c r="J135" s="146"/>
      <c r="K135" s="297"/>
      <c r="L135" s="541"/>
      <c r="M135" s="469"/>
      <c r="N135" s="262"/>
      <c r="O135" s="348" t="s">
        <v>280</v>
      </c>
      <c r="P135" s="349" t="s">
        <v>79</v>
      </c>
      <c r="Q135" s="476"/>
      <c r="R135" s="467"/>
      <c r="S135" s="467"/>
      <c r="T135" s="476"/>
      <c r="U135" s="490" t="str">
        <f>IF(ISERROR(VLOOKUP($T135, 'Reference data'!$J$2:$K$139, 2, FALSE)),"-",VLOOKUP($T135, 'Reference data'!$J$2:$K$139, 2, FALSE))</f>
        <v>-</v>
      </c>
      <c r="V135" s="147"/>
      <c r="W135" s="147"/>
      <c r="X135" s="471"/>
      <c r="Y135" s="472"/>
      <c r="Z135" s="144"/>
      <c r="AA135" s="508"/>
      <c r="AB135" s="163"/>
      <c r="AC135" s="148"/>
      <c r="AD135" s="480"/>
      <c r="AE135" s="348" t="s">
        <v>280</v>
      </c>
      <c r="AF135" s="354" t="s">
        <v>79</v>
      </c>
      <c r="AG135" s="484"/>
    </row>
    <row r="136" spans="2:33" s="434" customFormat="1">
      <c r="B136" s="493" t="str">
        <f>IF(AND(Validator!G130=TRUE,Validator!G380=TRUE,Validator!G630=TRUE,Validator!G880=TRUE,Validator!G1130=TRUE,Validator!G1380=TRUE),"Valid","Invalid")</f>
        <v>Valid</v>
      </c>
      <c r="C136" s="144"/>
      <c r="D136" s="478"/>
      <c r="E136" s="479"/>
      <c r="F136" s="580"/>
      <c r="G136" s="480"/>
      <c r="H136" s="580"/>
      <c r="I136" s="483"/>
      <c r="J136" s="146"/>
      <c r="K136" s="297"/>
      <c r="L136" s="541"/>
      <c r="M136" s="469"/>
      <c r="N136" s="262"/>
      <c r="O136" s="348" t="s">
        <v>280</v>
      </c>
      <c r="P136" s="349" t="s">
        <v>79</v>
      </c>
      <c r="Q136" s="476"/>
      <c r="R136" s="467"/>
      <c r="S136" s="467"/>
      <c r="T136" s="476"/>
      <c r="U136" s="490" t="str">
        <f>IF(ISERROR(VLOOKUP($T136, 'Reference data'!$J$2:$K$139, 2, FALSE)),"-",VLOOKUP($T136, 'Reference data'!$J$2:$K$139, 2, FALSE))</f>
        <v>-</v>
      </c>
      <c r="V136" s="147"/>
      <c r="W136" s="147"/>
      <c r="X136" s="471"/>
      <c r="Y136" s="472"/>
      <c r="Z136" s="144"/>
      <c r="AA136" s="508"/>
      <c r="AB136" s="163"/>
      <c r="AC136" s="148"/>
      <c r="AD136" s="480"/>
      <c r="AE136" s="348" t="s">
        <v>280</v>
      </c>
      <c r="AF136" s="354" t="s">
        <v>79</v>
      </c>
      <c r="AG136" s="484"/>
    </row>
    <row r="137" spans="2:33" s="434" customFormat="1">
      <c r="B137" s="493" t="str">
        <f>IF(AND(Validator!G131=TRUE,Validator!G381=TRUE,Validator!G631=TRUE,Validator!G881=TRUE,Validator!G1131=TRUE,Validator!G1381=TRUE),"Valid","Invalid")</f>
        <v>Valid</v>
      </c>
      <c r="C137" s="144"/>
      <c r="D137" s="478"/>
      <c r="E137" s="479"/>
      <c r="F137" s="580"/>
      <c r="G137" s="480"/>
      <c r="H137" s="580"/>
      <c r="I137" s="483"/>
      <c r="J137" s="146"/>
      <c r="K137" s="297"/>
      <c r="L137" s="541"/>
      <c r="M137" s="469"/>
      <c r="N137" s="262"/>
      <c r="O137" s="348" t="s">
        <v>280</v>
      </c>
      <c r="P137" s="349" t="s">
        <v>79</v>
      </c>
      <c r="Q137" s="476"/>
      <c r="R137" s="467"/>
      <c r="S137" s="467"/>
      <c r="T137" s="476"/>
      <c r="U137" s="490" t="str">
        <f>IF(ISERROR(VLOOKUP($T137, 'Reference data'!$J$2:$K$139, 2, FALSE)),"-",VLOOKUP($T137, 'Reference data'!$J$2:$K$139, 2, FALSE))</f>
        <v>-</v>
      </c>
      <c r="V137" s="147"/>
      <c r="W137" s="147"/>
      <c r="X137" s="471"/>
      <c r="Y137" s="472"/>
      <c r="Z137" s="144"/>
      <c r="AA137" s="508"/>
      <c r="AB137" s="163"/>
      <c r="AC137" s="148"/>
      <c r="AD137" s="480"/>
      <c r="AE137" s="348" t="s">
        <v>280</v>
      </c>
      <c r="AF137" s="354" t="s">
        <v>79</v>
      </c>
      <c r="AG137" s="484"/>
    </row>
    <row r="138" spans="2:33" s="434" customFormat="1">
      <c r="B138" s="493" t="str">
        <f>IF(AND(Validator!G132=TRUE,Validator!G382=TRUE,Validator!G632=TRUE,Validator!G882=TRUE,Validator!G1132=TRUE,Validator!G1382=TRUE),"Valid","Invalid")</f>
        <v>Valid</v>
      </c>
      <c r="C138" s="144"/>
      <c r="D138" s="478"/>
      <c r="E138" s="479"/>
      <c r="F138" s="580"/>
      <c r="G138" s="480"/>
      <c r="H138" s="580"/>
      <c r="I138" s="483"/>
      <c r="J138" s="146"/>
      <c r="K138" s="297"/>
      <c r="L138" s="541"/>
      <c r="M138" s="469"/>
      <c r="N138" s="262"/>
      <c r="O138" s="348" t="s">
        <v>280</v>
      </c>
      <c r="P138" s="349" t="s">
        <v>79</v>
      </c>
      <c r="Q138" s="476"/>
      <c r="R138" s="467"/>
      <c r="S138" s="467"/>
      <c r="T138" s="476"/>
      <c r="U138" s="490" t="str">
        <f>IF(ISERROR(VLOOKUP($T138, 'Reference data'!$J$2:$K$139, 2, FALSE)),"-",VLOOKUP($T138, 'Reference data'!$J$2:$K$139, 2, FALSE))</f>
        <v>-</v>
      </c>
      <c r="V138" s="147"/>
      <c r="W138" s="147"/>
      <c r="X138" s="471"/>
      <c r="Y138" s="472"/>
      <c r="Z138" s="144"/>
      <c r="AA138" s="508"/>
      <c r="AB138" s="163"/>
      <c r="AC138" s="148"/>
      <c r="AD138" s="480"/>
      <c r="AE138" s="348" t="s">
        <v>280</v>
      </c>
      <c r="AF138" s="354" t="s">
        <v>79</v>
      </c>
      <c r="AG138" s="484"/>
    </row>
    <row r="139" spans="2:33" s="434" customFormat="1">
      <c r="B139" s="493" t="str">
        <f>IF(AND(Validator!G133=TRUE,Validator!G383=TRUE,Validator!G633=TRUE,Validator!G883=TRUE,Validator!G1133=TRUE,Validator!G1383=TRUE),"Valid","Invalid")</f>
        <v>Valid</v>
      </c>
      <c r="C139" s="144"/>
      <c r="D139" s="478"/>
      <c r="E139" s="479"/>
      <c r="F139" s="580"/>
      <c r="G139" s="480"/>
      <c r="H139" s="580"/>
      <c r="I139" s="483"/>
      <c r="J139" s="146"/>
      <c r="K139" s="297"/>
      <c r="L139" s="541"/>
      <c r="M139" s="469"/>
      <c r="N139" s="262"/>
      <c r="O139" s="348" t="s">
        <v>280</v>
      </c>
      <c r="P139" s="349" t="s">
        <v>79</v>
      </c>
      <c r="Q139" s="476"/>
      <c r="R139" s="467"/>
      <c r="S139" s="467"/>
      <c r="T139" s="476"/>
      <c r="U139" s="490" t="str">
        <f>IF(ISERROR(VLOOKUP($T139, 'Reference data'!$J$2:$K$139, 2, FALSE)),"-",VLOOKUP($T139, 'Reference data'!$J$2:$K$139, 2, FALSE))</f>
        <v>-</v>
      </c>
      <c r="V139" s="147"/>
      <c r="W139" s="147"/>
      <c r="X139" s="471"/>
      <c r="Y139" s="472"/>
      <c r="Z139" s="144"/>
      <c r="AA139" s="508"/>
      <c r="AB139" s="163"/>
      <c r="AC139" s="148"/>
      <c r="AD139" s="480"/>
      <c r="AE139" s="348" t="s">
        <v>280</v>
      </c>
      <c r="AF139" s="354" t="s">
        <v>79</v>
      </c>
      <c r="AG139" s="484"/>
    </row>
    <row r="140" spans="2:33" s="434" customFormat="1">
      <c r="B140" s="493" t="str">
        <f>IF(AND(Validator!G134=TRUE,Validator!G384=TRUE,Validator!G634=TRUE,Validator!G884=TRUE,Validator!G1134=TRUE,Validator!G1384=TRUE),"Valid","Invalid")</f>
        <v>Valid</v>
      </c>
      <c r="C140" s="144"/>
      <c r="D140" s="478"/>
      <c r="E140" s="479"/>
      <c r="F140" s="580"/>
      <c r="G140" s="480"/>
      <c r="H140" s="580"/>
      <c r="I140" s="483"/>
      <c r="J140" s="146"/>
      <c r="K140" s="297"/>
      <c r="L140" s="541"/>
      <c r="M140" s="469"/>
      <c r="N140" s="262"/>
      <c r="O140" s="348" t="s">
        <v>280</v>
      </c>
      <c r="P140" s="349" t="s">
        <v>79</v>
      </c>
      <c r="Q140" s="476"/>
      <c r="R140" s="467"/>
      <c r="S140" s="467"/>
      <c r="T140" s="476"/>
      <c r="U140" s="490" t="str">
        <f>IF(ISERROR(VLOOKUP($T140, 'Reference data'!$J$2:$K$139, 2, FALSE)),"-",VLOOKUP($T140, 'Reference data'!$J$2:$K$139, 2, FALSE))</f>
        <v>-</v>
      </c>
      <c r="V140" s="147"/>
      <c r="W140" s="147"/>
      <c r="X140" s="471"/>
      <c r="Y140" s="472"/>
      <c r="Z140" s="144"/>
      <c r="AA140" s="508"/>
      <c r="AB140" s="163"/>
      <c r="AC140" s="148"/>
      <c r="AD140" s="480"/>
      <c r="AE140" s="348" t="s">
        <v>280</v>
      </c>
      <c r="AF140" s="354" t="s">
        <v>79</v>
      </c>
      <c r="AG140" s="484"/>
    </row>
    <row r="141" spans="2:33" s="434" customFormat="1">
      <c r="B141" s="493" t="str">
        <f>IF(AND(Validator!G135=TRUE,Validator!G385=TRUE,Validator!G635=TRUE,Validator!G885=TRUE,Validator!G1135=TRUE,Validator!G1385=TRUE),"Valid","Invalid")</f>
        <v>Valid</v>
      </c>
      <c r="C141" s="144"/>
      <c r="D141" s="478"/>
      <c r="E141" s="479"/>
      <c r="F141" s="580"/>
      <c r="G141" s="480"/>
      <c r="H141" s="580"/>
      <c r="I141" s="483"/>
      <c r="J141" s="146"/>
      <c r="K141" s="297"/>
      <c r="L141" s="541"/>
      <c r="M141" s="469"/>
      <c r="N141" s="262"/>
      <c r="O141" s="348" t="s">
        <v>280</v>
      </c>
      <c r="P141" s="349" t="s">
        <v>79</v>
      </c>
      <c r="Q141" s="476"/>
      <c r="R141" s="467"/>
      <c r="S141" s="467"/>
      <c r="T141" s="476"/>
      <c r="U141" s="490" t="str">
        <f>IF(ISERROR(VLOOKUP($T141, 'Reference data'!$J$2:$K$139, 2, FALSE)),"-",VLOOKUP($T141, 'Reference data'!$J$2:$K$139, 2, FALSE))</f>
        <v>-</v>
      </c>
      <c r="V141" s="147"/>
      <c r="W141" s="147"/>
      <c r="X141" s="471"/>
      <c r="Y141" s="472"/>
      <c r="Z141" s="144"/>
      <c r="AA141" s="508"/>
      <c r="AB141" s="163"/>
      <c r="AC141" s="148"/>
      <c r="AD141" s="480"/>
      <c r="AE141" s="348" t="s">
        <v>280</v>
      </c>
      <c r="AF141" s="354" t="s">
        <v>79</v>
      </c>
      <c r="AG141" s="484"/>
    </row>
    <row r="142" spans="2:33" s="434" customFormat="1">
      <c r="B142" s="493" t="str">
        <f>IF(AND(Validator!G136=TRUE,Validator!G386=TRUE,Validator!G636=TRUE,Validator!G886=TRUE,Validator!G1136=TRUE,Validator!G1386=TRUE),"Valid","Invalid")</f>
        <v>Valid</v>
      </c>
      <c r="C142" s="144"/>
      <c r="D142" s="478"/>
      <c r="E142" s="479"/>
      <c r="F142" s="580"/>
      <c r="G142" s="480"/>
      <c r="H142" s="580"/>
      <c r="I142" s="483"/>
      <c r="J142" s="146"/>
      <c r="K142" s="297"/>
      <c r="L142" s="541"/>
      <c r="M142" s="469"/>
      <c r="N142" s="262"/>
      <c r="O142" s="348" t="s">
        <v>280</v>
      </c>
      <c r="P142" s="349" t="s">
        <v>79</v>
      </c>
      <c r="Q142" s="476"/>
      <c r="R142" s="467"/>
      <c r="S142" s="467"/>
      <c r="T142" s="476"/>
      <c r="U142" s="490" t="str">
        <f>IF(ISERROR(VLOOKUP($T142, 'Reference data'!$J$2:$K$139, 2, FALSE)),"-",VLOOKUP($T142, 'Reference data'!$J$2:$K$139, 2, FALSE))</f>
        <v>-</v>
      </c>
      <c r="V142" s="147"/>
      <c r="W142" s="147"/>
      <c r="X142" s="471"/>
      <c r="Y142" s="472"/>
      <c r="Z142" s="144"/>
      <c r="AA142" s="508"/>
      <c r="AB142" s="163"/>
      <c r="AC142" s="148"/>
      <c r="AD142" s="480"/>
      <c r="AE142" s="348" t="s">
        <v>280</v>
      </c>
      <c r="AF142" s="354" t="s">
        <v>79</v>
      </c>
      <c r="AG142" s="484"/>
    </row>
    <row r="143" spans="2:33" s="434" customFormat="1">
      <c r="B143" s="493" t="str">
        <f>IF(AND(Validator!G137=TRUE,Validator!G387=TRUE,Validator!G637=TRUE,Validator!G887=TRUE,Validator!G1137=TRUE,Validator!G1387=TRUE),"Valid","Invalid")</f>
        <v>Valid</v>
      </c>
      <c r="C143" s="144"/>
      <c r="D143" s="478"/>
      <c r="E143" s="479"/>
      <c r="F143" s="580"/>
      <c r="G143" s="480"/>
      <c r="H143" s="580"/>
      <c r="I143" s="483"/>
      <c r="J143" s="146"/>
      <c r="K143" s="297"/>
      <c r="L143" s="541"/>
      <c r="M143" s="469"/>
      <c r="N143" s="262"/>
      <c r="O143" s="348" t="s">
        <v>280</v>
      </c>
      <c r="P143" s="349" t="s">
        <v>79</v>
      </c>
      <c r="Q143" s="476"/>
      <c r="R143" s="467"/>
      <c r="S143" s="467"/>
      <c r="T143" s="476"/>
      <c r="U143" s="490" t="str">
        <f>IF(ISERROR(VLOOKUP($T143, 'Reference data'!$J$2:$K$139, 2, FALSE)),"-",VLOOKUP($T143, 'Reference data'!$J$2:$K$139, 2, FALSE))</f>
        <v>-</v>
      </c>
      <c r="V143" s="147"/>
      <c r="W143" s="147"/>
      <c r="X143" s="471"/>
      <c r="Y143" s="472"/>
      <c r="Z143" s="144"/>
      <c r="AA143" s="508"/>
      <c r="AB143" s="163"/>
      <c r="AC143" s="148"/>
      <c r="AD143" s="480"/>
      <c r="AE143" s="348" t="s">
        <v>280</v>
      </c>
      <c r="AF143" s="354" t="s">
        <v>79</v>
      </c>
      <c r="AG143" s="484"/>
    </row>
    <row r="144" spans="2:33" s="434" customFormat="1">
      <c r="B144" s="493" t="str">
        <f>IF(AND(Validator!G138=TRUE,Validator!G388=TRUE,Validator!G638=TRUE,Validator!G888=TRUE,Validator!G1138=TRUE,Validator!G1388=TRUE),"Valid","Invalid")</f>
        <v>Valid</v>
      </c>
      <c r="C144" s="144"/>
      <c r="D144" s="478"/>
      <c r="E144" s="479"/>
      <c r="F144" s="580"/>
      <c r="G144" s="480"/>
      <c r="H144" s="580"/>
      <c r="I144" s="483"/>
      <c r="J144" s="146"/>
      <c r="K144" s="297"/>
      <c r="L144" s="541"/>
      <c r="M144" s="469"/>
      <c r="N144" s="262"/>
      <c r="O144" s="348" t="s">
        <v>280</v>
      </c>
      <c r="P144" s="349" t="s">
        <v>79</v>
      </c>
      <c r="Q144" s="476"/>
      <c r="R144" s="467"/>
      <c r="S144" s="467"/>
      <c r="T144" s="476"/>
      <c r="U144" s="490" t="str">
        <f>IF(ISERROR(VLOOKUP($T144, 'Reference data'!$J$2:$K$139, 2, FALSE)),"-",VLOOKUP($T144, 'Reference data'!$J$2:$K$139, 2, FALSE))</f>
        <v>-</v>
      </c>
      <c r="V144" s="147"/>
      <c r="W144" s="147"/>
      <c r="X144" s="471"/>
      <c r="Y144" s="472"/>
      <c r="Z144" s="144"/>
      <c r="AA144" s="508"/>
      <c r="AB144" s="163"/>
      <c r="AC144" s="148"/>
      <c r="AD144" s="480"/>
      <c r="AE144" s="348" t="s">
        <v>280</v>
      </c>
      <c r="AF144" s="354" t="s">
        <v>79</v>
      </c>
      <c r="AG144" s="484"/>
    </row>
    <row r="145" spans="2:33" s="434" customFormat="1">
      <c r="B145" s="493" t="str">
        <f>IF(AND(Validator!G139=TRUE,Validator!G389=TRUE,Validator!G639=TRUE,Validator!G889=TRUE,Validator!G1139=TRUE,Validator!G1389=TRUE),"Valid","Invalid")</f>
        <v>Valid</v>
      </c>
      <c r="C145" s="144"/>
      <c r="D145" s="478"/>
      <c r="E145" s="479"/>
      <c r="F145" s="580"/>
      <c r="G145" s="480"/>
      <c r="H145" s="580"/>
      <c r="I145" s="483"/>
      <c r="J145" s="146"/>
      <c r="K145" s="297"/>
      <c r="L145" s="541"/>
      <c r="M145" s="469"/>
      <c r="N145" s="262"/>
      <c r="O145" s="348" t="s">
        <v>280</v>
      </c>
      <c r="P145" s="349" t="s">
        <v>79</v>
      </c>
      <c r="Q145" s="476"/>
      <c r="R145" s="467"/>
      <c r="S145" s="467"/>
      <c r="T145" s="476"/>
      <c r="U145" s="490" t="str">
        <f>IF(ISERROR(VLOOKUP($T145, 'Reference data'!$J$2:$K$139, 2, FALSE)),"-",VLOOKUP($T145, 'Reference data'!$J$2:$K$139, 2, FALSE))</f>
        <v>-</v>
      </c>
      <c r="V145" s="147"/>
      <c r="W145" s="147"/>
      <c r="X145" s="471"/>
      <c r="Y145" s="472"/>
      <c r="Z145" s="144"/>
      <c r="AA145" s="508"/>
      <c r="AB145" s="163"/>
      <c r="AC145" s="148"/>
      <c r="AD145" s="480"/>
      <c r="AE145" s="348" t="s">
        <v>280</v>
      </c>
      <c r="AF145" s="354" t="s">
        <v>79</v>
      </c>
      <c r="AG145" s="484"/>
    </row>
    <row r="146" spans="2:33" s="434" customFormat="1">
      <c r="B146" s="493" t="str">
        <f>IF(AND(Validator!G140=TRUE,Validator!G390=TRUE,Validator!G640=TRUE,Validator!G890=TRUE,Validator!G1140=TRUE,Validator!G1390=TRUE),"Valid","Invalid")</f>
        <v>Valid</v>
      </c>
      <c r="C146" s="144"/>
      <c r="D146" s="478"/>
      <c r="E146" s="479"/>
      <c r="F146" s="580"/>
      <c r="G146" s="480"/>
      <c r="H146" s="580"/>
      <c r="I146" s="483"/>
      <c r="J146" s="146"/>
      <c r="K146" s="297"/>
      <c r="L146" s="541"/>
      <c r="M146" s="469"/>
      <c r="N146" s="262"/>
      <c r="O146" s="348" t="s">
        <v>280</v>
      </c>
      <c r="P146" s="349" t="s">
        <v>79</v>
      </c>
      <c r="Q146" s="476"/>
      <c r="R146" s="467"/>
      <c r="S146" s="467"/>
      <c r="T146" s="476"/>
      <c r="U146" s="490" t="str">
        <f>IF(ISERROR(VLOOKUP($T146, 'Reference data'!$J$2:$K$139, 2, FALSE)),"-",VLOOKUP($T146, 'Reference data'!$J$2:$K$139, 2, FALSE))</f>
        <v>-</v>
      </c>
      <c r="V146" s="147"/>
      <c r="W146" s="147"/>
      <c r="X146" s="471"/>
      <c r="Y146" s="472"/>
      <c r="Z146" s="144"/>
      <c r="AA146" s="508"/>
      <c r="AB146" s="163"/>
      <c r="AC146" s="148"/>
      <c r="AD146" s="480"/>
      <c r="AE146" s="348" t="s">
        <v>280</v>
      </c>
      <c r="AF146" s="354" t="s">
        <v>79</v>
      </c>
      <c r="AG146" s="484"/>
    </row>
    <row r="147" spans="2:33" s="434" customFormat="1">
      <c r="B147" s="493" t="str">
        <f>IF(AND(Validator!G141=TRUE,Validator!G391=TRUE,Validator!G641=TRUE,Validator!G891=TRUE,Validator!G1141=TRUE,Validator!G1391=TRUE),"Valid","Invalid")</f>
        <v>Valid</v>
      </c>
      <c r="C147" s="144"/>
      <c r="D147" s="478"/>
      <c r="E147" s="479"/>
      <c r="F147" s="580"/>
      <c r="G147" s="480"/>
      <c r="H147" s="580"/>
      <c r="I147" s="483"/>
      <c r="J147" s="146"/>
      <c r="K147" s="297"/>
      <c r="L147" s="541"/>
      <c r="M147" s="469"/>
      <c r="N147" s="262"/>
      <c r="O147" s="348" t="s">
        <v>280</v>
      </c>
      <c r="P147" s="349" t="s">
        <v>79</v>
      </c>
      <c r="Q147" s="476"/>
      <c r="R147" s="467"/>
      <c r="S147" s="467"/>
      <c r="T147" s="476"/>
      <c r="U147" s="490" t="str">
        <f>IF(ISERROR(VLOOKUP($T147, 'Reference data'!$J$2:$K$139, 2, FALSE)),"-",VLOOKUP($T147, 'Reference data'!$J$2:$K$139, 2, FALSE))</f>
        <v>-</v>
      </c>
      <c r="V147" s="147"/>
      <c r="W147" s="147"/>
      <c r="X147" s="471"/>
      <c r="Y147" s="472"/>
      <c r="Z147" s="144"/>
      <c r="AA147" s="508"/>
      <c r="AB147" s="163"/>
      <c r="AC147" s="148"/>
      <c r="AD147" s="480"/>
      <c r="AE147" s="348" t="s">
        <v>280</v>
      </c>
      <c r="AF147" s="354" t="s">
        <v>79</v>
      </c>
      <c r="AG147" s="484"/>
    </row>
    <row r="148" spans="2:33" s="434" customFormat="1">
      <c r="B148" s="493" t="str">
        <f>IF(AND(Validator!G142=TRUE,Validator!G392=TRUE,Validator!G642=TRUE,Validator!G892=TRUE,Validator!G1142=TRUE,Validator!G1392=TRUE),"Valid","Invalid")</f>
        <v>Valid</v>
      </c>
      <c r="C148" s="144"/>
      <c r="D148" s="478"/>
      <c r="E148" s="479"/>
      <c r="F148" s="580"/>
      <c r="G148" s="480"/>
      <c r="H148" s="580"/>
      <c r="I148" s="483"/>
      <c r="J148" s="146"/>
      <c r="K148" s="297"/>
      <c r="L148" s="541"/>
      <c r="M148" s="469"/>
      <c r="N148" s="262"/>
      <c r="O148" s="348" t="s">
        <v>280</v>
      </c>
      <c r="P148" s="349" t="s">
        <v>79</v>
      </c>
      <c r="Q148" s="476"/>
      <c r="R148" s="467"/>
      <c r="S148" s="467"/>
      <c r="T148" s="476"/>
      <c r="U148" s="490" t="str">
        <f>IF(ISERROR(VLOOKUP($T148, 'Reference data'!$J$2:$K$139, 2, FALSE)),"-",VLOOKUP($T148, 'Reference data'!$J$2:$K$139, 2, FALSE))</f>
        <v>-</v>
      </c>
      <c r="V148" s="147"/>
      <c r="W148" s="147"/>
      <c r="X148" s="471"/>
      <c r="Y148" s="472"/>
      <c r="Z148" s="144"/>
      <c r="AA148" s="508"/>
      <c r="AB148" s="163"/>
      <c r="AC148" s="148"/>
      <c r="AD148" s="480"/>
      <c r="AE148" s="348" t="s">
        <v>280</v>
      </c>
      <c r="AF148" s="354" t="s">
        <v>79</v>
      </c>
      <c r="AG148" s="484"/>
    </row>
    <row r="149" spans="2:33" s="434" customFormat="1">
      <c r="B149" s="493" t="str">
        <f>IF(AND(Validator!G143=TRUE,Validator!G393=TRUE,Validator!G643=TRUE,Validator!G893=TRUE,Validator!G1143=TRUE,Validator!G1393=TRUE),"Valid","Invalid")</f>
        <v>Valid</v>
      </c>
      <c r="C149" s="144"/>
      <c r="D149" s="478"/>
      <c r="E149" s="479"/>
      <c r="F149" s="580"/>
      <c r="G149" s="480"/>
      <c r="H149" s="580"/>
      <c r="I149" s="483"/>
      <c r="J149" s="146"/>
      <c r="K149" s="297"/>
      <c r="L149" s="541"/>
      <c r="M149" s="469"/>
      <c r="N149" s="262"/>
      <c r="O149" s="348" t="s">
        <v>280</v>
      </c>
      <c r="P149" s="349" t="s">
        <v>79</v>
      </c>
      <c r="Q149" s="476"/>
      <c r="R149" s="467"/>
      <c r="S149" s="467"/>
      <c r="T149" s="476"/>
      <c r="U149" s="490" t="str">
        <f>IF(ISERROR(VLOOKUP($T149, 'Reference data'!$J$2:$K$139, 2, FALSE)),"-",VLOOKUP($T149, 'Reference data'!$J$2:$K$139, 2, FALSE))</f>
        <v>-</v>
      </c>
      <c r="V149" s="147"/>
      <c r="W149" s="147"/>
      <c r="X149" s="471"/>
      <c r="Y149" s="472"/>
      <c r="Z149" s="144"/>
      <c r="AA149" s="508"/>
      <c r="AB149" s="163"/>
      <c r="AC149" s="148"/>
      <c r="AD149" s="480"/>
      <c r="AE149" s="348" t="s">
        <v>280</v>
      </c>
      <c r="AF149" s="354" t="s">
        <v>79</v>
      </c>
      <c r="AG149" s="484"/>
    </row>
    <row r="150" spans="2:33" s="434" customFormat="1">
      <c r="B150" s="493" t="str">
        <f>IF(AND(Validator!G144=TRUE,Validator!G394=TRUE,Validator!G644=TRUE,Validator!G894=TRUE,Validator!G1144=TRUE,Validator!G1394=TRUE),"Valid","Invalid")</f>
        <v>Valid</v>
      </c>
      <c r="C150" s="144"/>
      <c r="D150" s="478"/>
      <c r="E150" s="479"/>
      <c r="F150" s="580"/>
      <c r="G150" s="480"/>
      <c r="H150" s="580"/>
      <c r="I150" s="483"/>
      <c r="J150" s="146"/>
      <c r="K150" s="297"/>
      <c r="L150" s="541"/>
      <c r="M150" s="469"/>
      <c r="N150" s="262"/>
      <c r="O150" s="348" t="s">
        <v>280</v>
      </c>
      <c r="P150" s="349" t="s">
        <v>79</v>
      </c>
      <c r="Q150" s="476"/>
      <c r="R150" s="467"/>
      <c r="S150" s="467"/>
      <c r="T150" s="476"/>
      <c r="U150" s="490" t="str">
        <f>IF(ISERROR(VLOOKUP($T150, 'Reference data'!$J$2:$K$139, 2, FALSE)),"-",VLOOKUP($T150, 'Reference data'!$J$2:$K$139, 2, FALSE))</f>
        <v>-</v>
      </c>
      <c r="V150" s="147"/>
      <c r="W150" s="147"/>
      <c r="X150" s="471"/>
      <c r="Y150" s="472"/>
      <c r="Z150" s="144"/>
      <c r="AA150" s="508"/>
      <c r="AB150" s="163"/>
      <c r="AC150" s="148"/>
      <c r="AD150" s="480"/>
      <c r="AE150" s="348" t="s">
        <v>280</v>
      </c>
      <c r="AF150" s="354" t="s">
        <v>79</v>
      </c>
      <c r="AG150" s="484"/>
    </row>
    <row r="151" spans="2:33" s="434" customFormat="1">
      <c r="B151" s="493" t="str">
        <f>IF(AND(Validator!G145=TRUE,Validator!G395=TRUE,Validator!G645=TRUE,Validator!G895=TRUE,Validator!G1145=TRUE,Validator!G1395=TRUE),"Valid","Invalid")</f>
        <v>Valid</v>
      </c>
      <c r="C151" s="144"/>
      <c r="D151" s="478"/>
      <c r="E151" s="479"/>
      <c r="F151" s="580"/>
      <c r="G151" s="480"/>
      <c r="H151" s="580"/>
      <c r="I151" s="483"/>
      <c r="J151" s="146"/>
      <c r="K151" s="297"/>
      <c r="L151" s="541"/>
      <c r="M151" s="469"/>
      <c r="N151" s="262"/>
      <c r="O151" s="348" t="s">
        <v>280</v>
      </c>
      <c r="P151" s="349" t="s">
        <v>79</v>
      </c>
      <c r="Q151" s="476"/>
      <c r="R151" s="467"/>
      <c r="S151" s="467"/>
      <c r="T151" s="476"/>
      <c r="U151" s="490" t="str">
        <f>IF(ISERROR(VLOOKUP($T151, 'Reference data'!$J$2:$K$139, 2, FALSE)),"-",VLOOKUP($T151, 'Reference data'!$J$2:$K$139, 2, FALSE))</f>
        <v>-</v>
      </c>
      <c r="V151" s="147"/>
      <c r="W151" s="147"/>
      <c r="X151" s="471"/>
      <c r="Y151" s="472"/>
      <c r="Z151" s="144"/>
      <c r="AA151" s="508"/>
      <c r="AB151" s="163"/>
      <c r="AC151" s="148"/>
      <c r="AD151" s="480"/>
      <c r="AE151" s="348" t="s">
        <v>280</v>
      </c>
      <c r="AF151" s="354" t="s">
        <v>79</v>
      </c>
      <c r="AG151" s="484"/>
    </row>
    <row r="152" spans="2:33" s="434" customFormat="1">
      <c r="B152" s="493" t="str">
        <f>IF(AND(Validator!G146=TRUE,Validator!G396=TRUE,Validator!G646=TRUE,Validator!G896=TRUE,Validator!G1146=TRUE,Validator!G1396=TRUE),"Valid","Invalid")</f>
        <v>Valid</v>
      </c>
      <c r="C152" s="144"/>
      <c r="D152" s="478"/>
      <c r="E152" s="479"/>
      <c r="F152" s="580"/>
      <c r="G152" s="480"/>
      <c r="H152" s="580"/>
      <c r="I152" s="483"/>
      <c r="J152" s="146"/>
      <c r="K152" s="297"/>
      <c r="L152" s="541"/>
      <c r="M152" s="469"/>
      <c r="N152" s="262"/>
      <c r="O152" s="348" t="s">
        <v>280</v>
      </c>
      <c r="P152" s="349" t="s">
        <v>79</v>
      </c>
      <c r="Q152" s="476"/>
      <c r="R152" s="467"/>
      <c r="S152" s="467"/>
      <c r="T152" s="476"/>
      <c r="U152" s="490" t="str">
        <f>IF(ISERROR(VLOOKUP($T152, 'Reference data'!$J$2:$K$139, 2, FALSE)),"-",VLOOKUP($T152, 'Reference data'!$J$2:$K$139, 2, FALSE))</f>
        <v>-</v>
      </c>
      <c r="V152" s="147"/>
      <c r="W152" s="147"/>
      <c r="X152" s="471"/>
      <c r="Y152" s="472"/>
      <c r="Z152" s="144"/>
      <c r="AA152" s="508"/>
      <c r="AB152" s="163"/>
      <c r="AC152" s="148"/>
      <c r="AD152" s="480"/>
      <c r="AE152" s="348" t="s">
        <v>280</v>
      </c>
      <c r="AF152" s="354" t="s">
        <v>79</v>
      </c>
      <c r="AG152" s="484"/>
    </row>
    <row r="153" spans="2:33" s="434" customFormat="1">
      <c r="B153" s="493" t="str">
        <f>IF(AND(Validator!G147=TRUE,Validator!G397=TRUE,Validator!G647=TRUE,Validator!G897=TRUE,Validator!G1147=TRUE,Validator!G1397=TRUE),"Valid","Invalid")</f>
        <v>Valid</v>
      </c>
      <c r="C153" s="144"/>
      <c r="D153" s="478"/>
      <c r="E153" s="479"/>
      <c r="F153" s="580"/>
      <c r="G153" s="480"/>
      <c r="H153" s="580"/>
      <c r="I153" s="483"/>
      <c r="J153" s="146"/>
      <c r="K153" s="297"/>
      <c r="L153" s="541"/>
      <c r="M153" s="469"/>
      <c r="N153" s="262"/>
      <c r="O153" s="348" t="s">
        <v>280</v>
      </c>
      <c r="P153" s="349" t="s">
        <v>79</v>
      </c>
      <c r="Q153" s="476"/>
      <c r="R153" s="467"/>
      <c r="S153" s="467"/>
      <c r="T153" s="476"/>
      <c r="U153" s="490" t="str">
        <f>IF(ISERROR(VLOOKUP($T153, 'Reference data'!$J$2:$K$139, 2, FALSE)),"-",VLOOKUP($T153, 'Reference data'!$J$2:$K$139, 2, FALSE))</f>
        <v>-</v>
      </c>
      <c r="V153" s="147"/>
      <c r="W153" s="147"/>
      <c r="X153" s="471"/>
      <c r="Y153" s="472"/>
      <c r="Z153" s="144"/>
      <c r="AA153" s="508"/>
      <c r="AB153" s="163"/>
      <c r="AC153" s="148"/>
      <c r="AD153" s="480"/>
      <c r="AE153" s="348" t="s">
        <v>280</v>
      </c>
      <c r="AF153" s="354" t="s">
        <v>79</v>
      </c>
      <c r="AG153" s="484"/>
    </row>
    <row r="154" spans="2:33" s="434" customFormat="1">
      <c r="B154" s="493" t="str">
        <f>IF(AND(Validator!G148=TRUE,Validator!G398=TRUE,Validator!G648=TRUE,Validator!G898=TRUE,Validator!G1148=TRUE,Validator!G1398=TRUE),"Valid","Invalid")</f>
        <v>Valid</v>
      </c>
      <c r="C154" s="144"/>
      <c r="D154" s="478"/>
      <c r="E154" s="479"/>
      <c r="F154" s="580"/>
      <c r="G154" s="480"/>
      <c r="H154" s="580"/>
      <c r="I154" s="483"/>
      <c r="J154" s="146"/>
      <c r="K154" s="297"/>
      <c r="L154" s="541"/>
      <c r="M154" s="469"/>
      <c r="N154" s="262"/>
      <c r="O154" s="348" t="s">
        <v>280</v>
      </c>
      <c r="P154" s="349" t="s">
        <v>79</v>
      </c>
      <c r="Q154" s="476"/>
      <c r="R154" s="467"/>
      <c r="S154" s="467"/>
      <c r="T154" s="476"/>
      <c r="U154" s="490" t="str">
        <f>IF(ISERROR(VLOOKUP($T154, 'Reference data'!$J$2:$K$139, 2, FALSE)),"-",VLOOKUP($T154, 'Reference data'!$J$2:$K$139, 2, FALSE))</f>
        <v>-</v>
      </c>
      <c r="V154" s="147"/>
      <c r="W154" s="147"/>
      <c r="X154" s="471"/>
      <c r="Y154" s="472"/>
      <c r="Z154" s="144"/>
      <c r="AA154" s="508"/>
      <c r="AB154" s="163"/>
      <c r="AC154" s="148"/>
      <c r="AD154" s="480"/>
      <c r="AE154" s="348" t="s">
        <v>280</v>
      </c>
      <c r="AF154" s="354" t="s">
        <v>79</v>
      </c>
      <c r="AG154" s="484"/>
    </row>
    <row r="155" spans="2:33" s="434" customFormat="1">
      <c r="B155" s="493" t="str">
        <f>IF(AND(Validator!G149=TRUE,Validator!G399=TRUE,Validator!G649=TRUE,Validator!G899=TRUE,Validator!G1149=TRUE,Validator!G1399=TRUE),"Valid","Invalid")</f>
        <v>Valid</v>
      </c>
      <c r="C155" s="144"/>
      <c r="D155" s="478"/>
      <c r="E155" s="479"/>
      <c r="F155" s="580"/>
      <c r="G155" s="480"/>
      <c r="H155" s="580"/>
      <c r="I155" s="483"/>
      <c r="J155" s="146"/>
      <c r="K155" s="297"/>
      <c r="L155" s="541"/>
      <c r="M155" s="469"/>
      <c r="N155" s="262"/>
      <c r="O155" s="348" t="s">
        <v>280</v>
      </c>
      <c r="P155" s="349" t="s">
        <v>79</v>
      </c>
      <c r="Q155" s="476"/>
      <c r="R155" s="467"/>
      <c r="S155" s="467"/>
      <c r="T155" s="476"/>
      <c r="U155" s="490" t="str">
        <f>IF(ISERROR(VLOOKUP($T155, 'Reference data'!$J$2:$K$139, 2, FALSE)),"-",VLOOKUP($T155, 'Reference data'!$J$2:$K$139, 2, FALSE))</f>
        <v>-</v>
      </c>
      <c r="V155" s="147"/>
      <c r="W155" s="147"/>
      <c r="X155" s="471"/>
      <c r="Y155" s="472"/>
      <c r="Z155" s="144"/>
      <c r="AA155" s="508"/>
      <c r="AB155" s="163"/>
      <c r="AC155" s="148"/>
      <c r="AD155" s="480"/>
      <c r="AE155" s="348" t="s">
        <v>280</v>
      </c>
      <c r="AF155" s="354" t="s">
        <v>79</v>
      </c>
      <c r="AG155" s="484"/>
    </row>
    <row r="156" spans="2:33" s="434" customFormat="1">
      <c r="B156" s="493" t="str">
        <f>IF(AND(Validator!G150=TRUE,Validator!G400=TRUE,Validator!G650=TRUE,Validator!G900=TRUE,Validator!G1150=TRUE,Validator!G1400=TRUE),"Valid","Invalid")</f>
        <v>Valid</v>
      </c>
      <c r="C156" s="144"/>
      <c r="D156" s="478"/>
      <c r="E156" s="479"/>
      <c r="F156" s="580"/>
      <c r="G156" s="480"/>
      <c r="H156" s="580"/>
      <c r="I156" s="483"/>
      <c r="J156" s="146"/>
      <c r="K156" s="297"/>
      <c r="L156" s="541"/>
      <c r="M156" s="469"/>
      <c r="N156" s="262"/>
      <c r="O156" s="348" t="s">
        <v>280</v>
      </c>
      <c r="P156" s="349" t="s">
        <v>79</v>
      </c>
      <c r="Q156" s="476"/>
      <c r="R156" s="467"/>
      <c r="S156" s="467"/>
      <c r="T156" s="476"/>
      <c r="U156" s="490" t="str">
        <f>IF(ISERROR(VLOOKUP($T156, 'Reference data'!$J$2:$K$139, 2, FALSE)),"-",VLOOKUP($T156, 'Reference data'!$J$2:$K$139, 2, FALSE))</f>
        <v>-</v>
      </c>
      <c r="V156" s="147"/>
      <c r="W156" s="147"/>
      <c r="X156" s="471"/>
      <c r="Y156" s="472"/>
      <c r="Z156" s="144"/>
      <c r="AA156" s="508"/>
      <c r="AB156" s="163"/>
      <c r="AC156" s="148"/>
      <c r="AD156" s="480"/>
      <c r="AE156" s="348" t="s">
        <v>280</v>
      </c>
      <c r="AF156" s="354" t="s">
        <v>79</v>
      </c>
      <c r="AG156" s="484"/>
    </row>
    <row r="157" spans="2:33" s="434" customFormat="1">
      <c r="B157" s="493" t="str">
        <f>IF(AND(Validator!G151=TRUE,Validator!G401=TRUE,Validator!G651=TRUE,Validator!G901=TRUE,Validator!G1151=TRUE,Validator!G1401=TRUE),"Valid","Invalid")</f>
        <v>Valid</v>
      </c>
      <c r="C157" s="144"/>
      <c r="D157" s="478"/>
      <c r="E157" s="479"/>
      <c r="F157" s="580"/>
      <c r="G157" s="480"/>
      <c r="H157" s="580"/>
      <c r="I157" s="483"/>
      <c r="J157" s="146"/>
      <c r="K157" s="297"/>
      <c r="L157" s="541"/>
      <c r="M157" s="469"/>
      <c r="N157" s="262"/>
      <c r="O157" s="348" t="s">
        <v>280</v>
      </c>
      <c r="P157" s="349" t="s">
        <v>79</v>
      </c>
      <c r="Q157" s="476"/>
      <c r="R157" s="467"/>
      <c r="S157" s="467"/>
      <c r="T157" s="476"/>
      <c r="U157" s="490" t="str">
        <f>IF(ISERROR(VLOOKUP($T157, 'Reference data'!$J$2:$K$139, 2, FALSE)),"-",VLOOKUP($T157, 'Reference data'!$J$2:$K$139, 2, FALSE))</f>
        <v>-</v>
      </c>
      <c r="V157" s="147"/>
      <c r="W157" s="147"/>
      <c r="X157" s="471"/>
      <c r="Y157" s="472"/>
      <c r="Z157" s="144"/>
      <c r="AA157" s="508"/>
      <c r="AB157" s="163"/>
      <c r="AC157" s="148"/>
      <c r="AD157" s="480"/>
      <c r="AE157" s="348" t="s">
        <v>280</v>
      </c>
      <c r="AF157" s="354" t="s">
        <v>79</v>
      </c>
      <c r="AG157" s="484"/>
    </row>
    <row r="158" spans="2:33" s="434" customFormat="1">
      <c r="B158" s="493" t="str">
        <f>IF(AND(Validator!G152=TRUE,Validator!G402=TRUE,Validator!G652=TRUE,Validator!G902=TRUE,Validator!G1152=TRUE,Validator!G1402=TRUE),"Valid","Invalid")</f>
        <v>Valid</v>
      </c>
      <c r="C158" s="144"/>
      <c r="D158" s="478"/>
      <c r="E158" s="479"/>
      <c r="F158" s="580"/>
      <c r="G158" s="480"/>
      <c r="H158" s="580"/>
      <c r="I158" s="483"/>
      <c r="J158" s="146"/>
      <c r="K158" s="297"/>
      <c r="L158" s="541"/>
      <c r="M158" s="469"/>
      <c r="N158" s="262"/>
      <c r="O158" s="348" t="s">
        <v>280</v>
      </c>
      <c r="P158" s="349" t="s">
        <v>79</v>
      </c>
      <c r="Q158" s="476"/>
      <c r="R158" s="467"/>
      <c r="S158" s="467"/>
      <c r="T158" s="476"/>
      <c r="U158" s="490" t="str">
        <f>IF(ISERROR(VLOOKUP($T158, 'Reference data'!$J$2:$K$139, 2, FALSE)),"-",VLOOKUP($T158, 'Reference data'!$J$2:$K$139, 2, FALSE))</f>
        <v>-</v>
      </c>
      <c r="V158" s="147"/>
      <c r="W158" s="147"/>
      <c r="X158" s="471"/>
      <c r="Y158" s="472"/>
      <c r="Z158" s="144"/>
      <c r="AA158" s="508"/>
      <c r="AB158" s="163"/>
      <c r="AC158" s="148"/>
      <c r="AD158" s="480"/>
      <c r="AE158" s="348" t="s">
        <v>280</v>
      </c>
      <c r="AF158" s="354" t="s">
        <v>79</v>
      </c>
      <c r="AG158" s="484"/>
    </row>
    <row r="159" spans="2:33" s="434" customFormat="1">
      <c r="B159" s="493" t="str">
        <f>IF(AND(Validator!G153=TRUE,Validator!G403=TRUE,Validator!G653=TRUE,Validator!G903=TRUE,Validator!G1153=TRUE,Validator!G1403=TRUE),"Valid","Invalid")</f>
        <v>Valid</v>
      </c>
      <c r="C159" s="144"/>
      <c r="D159" s="478"/>
      <c r="E159" s="479"/>
      <c r="F159" s="580"/>
      <c r="G159" s="480"/>
      <c r="H159" s="580"/>
      <c r="I159" s="483"/>
      <c r="J159" s="146"/>
      <c r="K159" s="297"/>
      <c r="L159" s="541"/>
      <c r="M159" s="469"/>
      <c r="N159" s="262"/>
      <c r="O159" s="348" t="s">
        <v>280</v>
      </c>
      <c r="P159" s="349" t="s">
        <v>79</v>
      </c>
      <c r="Q159" s="476"/>
      <c r="R159" s="467"/>
      <c r="S159" s="467"/>
      <c r="T159" s="476"/>
      <c r="U159" s="490" t="str">
        <f>IF(ISERROR(VLOOKUP($T159, 'Reference data'!$J$2:$K$139, 2, FALSE)),"-",VLOOKUP($T159, 'Reference data'!$J$2:$K$139, 2, FALSE))</f>
        <v>-</v>
      </c>
      <c r="V159" s="147"/>
      <c r="W159" s="147"/>
      <c r="X159" s="471"/>
      <c r="Y159" s="472"/>
      <c r="Z159" s="144"/>
      <c r="AA159" s="508"/>
      <c r="AB159" s="163"/>
      <c r="AC159" s="148"/>
      <c r="AD159" s="480"/>
      <c r="AE159" s="348" t="s">
        <v>280</v>
      </c>
      <c r="AF159" s="354" t="s">
        <v>79</v>
      </c>
      <c r="AG159" s="484"/>
    </row>
    <row r="160" spans="2:33" s="434" customFormat="1">
      <c r="B160" s="493" t="str">
        <f>IF(AND(Validator!G154=TRUE,Validator!G404=TRUE,Validator!G654=TRUE,Validator!G904=TRUE,Validator!G1154=TRUE,Validator!G1404=TRUE),"Valid","Invalid")</f>
        <v>Valid</v>
      </c>
      <c r="C160" s="144"/>
      <c r="D160" s="478"/>
      <c r="E160" s="479"/>
      <c r="F160" s="580"/>
      <c r="G160" s="480"/>
      <c r="H160" s="580"/>
      <c r="I160" s="483"/>
      <c r="J160" s="146"/>
      <c r="K160" s="297"/>
      <c r="L160" s="541"/>
      <c r="M160" s="469"/>
      <c r="N160" s="262"/>
      <c r="O160" s="348" t="s">
        <v>280</v>
      </c>
      <c r="P160" s="349" t="s">
        <v>79</v>
      </c>
      <c r="Q160" s="476"/>
      <c r="R160" s="467"/>
      <c r="S160" s="467"/>
      <c r="T160" s="476"/>
      <c r="U160" s="490" t="str">
        <f>IF(ISERROR(VLOOKUP($T160, 'Reference data'!$J$2:$K$139, 2, FALSE)),"-",VLOOKUP($T160, 'Reference data'!$J$2:$K$139, 2, FALSE))</f>
        <v>-</v>
      </c>
      <c r="V160" s="147"/>
      <c r="W160" s="147"/>
      <c r="X160" s="471"/>
      <c r="Y160" s="472"/>
      <c r="Z160" s="144"/>
      <c r="AA160" s="508"/>
      <c r="AB160" s="163"/>
      <c r="AC160" s="148"/>
      <c r="AD160" s="480"/>
      <c r="AE160" s="348" t="s">
        <v>280</v>
      </c>
      <c r="AF160" s="354" t="s">
        <v>79</v>
      </c>
      <c r="AG160" s="484"/>
    </row>
    <row r="161" spans="2:33" s="434" customFormat="1">
      <c r="B161" s="493" t="str">
        <f>IF(AND(Validator!G155=TRUE,Validator!G405=TRUE,Validator!G655=TRUE,Validator!G905=TRUE,Validator!G1155=TRUE,Validator!G1405=TRUE),"Valid","Invalid")</f>
        <v>Valid</v>
      </c>
      <c r="C161" s="144"/>
      <c r="D161" s="478"/>
      <c r="E161" s="479"/>
      <c r="F161" s="580"/>
      <c r="G161" s="480"/>
      <c r="H161" s="580"/>
      <c r="I161" s="483"/>
      <c r="J161" s="146"/>
      <c r="K161" s="297"/>
      <c r="L161" s="541"/>
      <c r="M161" s="469"/>
      <c r="N161" s="262"/>
      <c r="O161" s="348" t="s">
        <v>280</v>
      </c>
      <c r="P161" s="349" t="s">
        <v>79</v>
      </c>
      <c r="Q161" s="476"/>
      <c r="R161" s="467"/>
      <c r="S161" s="467"/>
      <c r="T161" s="476"/>
      <c r="U161" s="490" t="str">
        <f>IF(ISERROR(VLOOKUP($T161, 'Reference data'!$J$2:$K$139, 2, FALSE)),"-",VLOOKUP($T161, 'Reference data'!$J$2:$K$139, 2, FALSE))</f>
        <v>-</v>
      </c>
      <c r="V161" s="147"/>
      <c r="W161" s="147"/>
      <c r="X161" s="471"/>
      <c r="Y161" s="472"/>
      <c r="Z161" s="144"/>
      <c r="AA161" s="508"/>
      <c r="AB161" s="163"/>
      <c r="AC161" s="148"/>
      <c r="AD161" s="480"/>
      <c r="AE161" s="348" t="s">
        <v>280</v>
      </c>
      <c r="AF161" s="354" t="s">
        <v>79</v>
      </c>
      <c r="AG161" s="484"/>
    </row>
    <row r="162" spans="2:33" s="434" customFormat="1">
      <c r="B162" s="493" t="str">
        <f>IF(AND(Validator!G156=TRUE,Validator!G406=TRUE,Validator!G656=TRUE,Validator!G906=TRUE,Validator!G1156=TRUE,Validator!G1406=TRUE),"Valid","Invalid")</f>
        <v>Valid</v>
      </c>
      <c r="C162" s="144"/>
      <c r="D162" s="478"/>
      <c r="E162" s="479"/>
      <c r="F162" s="580"/>
      <c r="G162" s="480"/>
      <c r="H162" s="580"/>
      <c r="I162" s="483"/>
      <c r="J162" s="146"/>
      <c r="K162" s="297"/>
      <c r="L162" s="541"/>
      <c r="M162" s="469"/>
      <c r="N162" s="262"/>
      <c r="O162" s="348" t="s">
        <v>280</v>
      </c>
      <c r="P162" s="349" t="s">
        <v>79</v>
      </c>
      <c r="Q162" s="476"/>
      <c r="R162" s="467"/>
      <c r="S162" s="467"/>
      <c r="T162" s="476"/>
      <c r="U162" s="490" t="str">
        <f>IF(ISERROR(VLOOKUP($T162, 'Reference data'!$J$2:$K$139, 2, FALSE)),"-",VLOOKUP($T162, 'Reference data'!$J$2:$K$139, 2, FALSE))</f>
        <v>-</v>
      </c>
      <c r="V162" s="147"/>
      <c r="W162" s="147"/>
      <c r="X162" s="471"/>
      <c r="Y162" s="472"/>
      <c r="Z162" s="144"/>
      <c r="AA162" s="508"/>
      <c r="AB162" s="163"/>
      <c r="AC162" s="148"/>
      <c r="AD162" s="480"/>
      <c r="AE162" s="348" t="s">
        <v>280</v>
      </c>
      <c r="AF162" s="354" t="s">
        <v>79</v>
      </c>
      <c r="AG162" s="484"/>
    </row>
    <row r="163" spans="2:33" s="434" customFormat="1">
      <c r="B163" s="493" t="str">
        <f>IF(AND(Validator!G157=TRUE,Validator!G407=TRUE,Validator!G657=TRUE,Validator!G907=TRUE,Validator!G1157=TRUE,Validator!G1407=TRUE),"Valid","Invalid")</f>
        <v>Valid</v>
      </c>
      <c r="C163" s="144"/>
      <c r="D163" s="478"/>
      <c r="E163" s="479"/>
      <c r="F163" s="580"/>
      <c r="G163" s="480"/>
      <c r="H163" s="580"/>
      <c r="I163" s="483"/>
      <c r="J163" s="146"/>
      <c r="K163" s="297"/>
      <c r="L163" s="541"/>
      <c r="M163" s="469"/>
      <c r="N163" s="262"/>
      <c r="O163" s="348" t="s">
        <v>280</v>
      </c>
      <c r="P163" s="349" t="s">
        <v>79</v>
      </c>
      <c r="Q163" s="476"/>
      <c r="R163" s="467"/>
      <c r="S163" s="467"/>
      <c r="T163" s="476"/>
      <c r="U163" s="490" t="str">
        <f>IF(ISERROR(VLOOKUP($T163, 'Reference data'!$J$2:$K$139, 2, FALSE)),"-",VLOOKUP($T163, 'Reference data'!$J$2:$K$139, 2, FALSE))</f>
        <v>-</v>
      </c>
      <c r="V163" s="147"/>
      <c r="W163" s="147"/>
      <c r="X163" s="471"/>
      <c r="Y163" s="472"/>
      <c r="Z163" s="144"/>
      <c r="AA163" s="508"/>
      <c r="AB163" s="163"/>
      <c r="AC163" s="148"/>
      <c r="AD163" s="480"/>
      <c r="AE163" s="348" t="s">
        <v>280</v>
      </c>
      <c r="AF163" s="354" t="s">
        <v>79</v>
      </c>
      <c r="AG163" s="484"/>
    </row>
    <row r="164" spans="2:33" s="434" customFormat="1">
      <c r="B164" s="493" t="str">
        <f>IF(AND(Validator!G158=TRUE,Validator!G408=TRUE,Validator!G658=TRUE,Validator!G908=TRUE,Validator!G1158=TRUE,Validator!G1408=TRUE),"Valid","Invalid")</f>
        <v>Valid</v>
      </c>
      <c r="C164" s="144"/>
      <c r="D164" s="478"/>
      <c r="E164" s="479"/>
      <c r="F164" s="580"/>
      <c r="G164" s="480"/>
      <c r="H164" s="580"/>
      <c r="I164" s="483"/>
      <c r="J164" s="146"/>
      <c r="K164" s="297"/>
      <c r="L164" s="541"/>
      <c r="M164" s="469"/>
      <c r="N164" s="262"/>
      <c r="O164" s="348" t="s">
        <v>280</v>
      </c>
      <c r="P164" s="349" t="s">
        <v>79</v>
      </c>
      <c r="Q164" s="476"/>
      <c r="R164" s="467"/>
      <c r="S164" s="467"/>
      <c r="T164" s="476"/>
      <c r="U164" s="490" t="str">
        <f>IF(ISERROR(VLOOKUP($T164, 'Reference data'!$J$2:$K$139, 2, FALSE)),"-",VLOOKUP($T164, 'Reference data'!$J$2:$K$139, 2, FALSE))</f>
        <v>-</v>
      </c>
      <c r="V164" s="147"/>
      <c r="W164" s="147"/>
      <c r="X164" s="471"/>
      <c r="Y164" s="472"/>
      <c r="Z164" s="144"/>
      <c r="AA164" s="508"/>
      <c r="AB164" s="163"/>
      <c r="AC164" s="148"/>
      <c r="AD164" s="480"/>
      <c r="AE164" s="348" t="s">
        <v>280</v>
      </c>
      <c r="AF164" s="354" t="s">
        <v>79</v>
      </c>
      <c r="AG164" s="484"/>
    </row>
    <row r="165" spans="2:33" s="434" customFormat="1">
      <c r="B165" s="493" t="str">
        <f>IF(AND(Validator!G159=TRUE,Validator!G409=TRUE,Validator!G659=TRUE,Validator!G909=TRUE,Validator!G1159=TRUE,Validator!G1409=TRUE),"Valid","Invalid")</f>
        <v>Valid</v>
      </c>
      <c r="C165" s="144"/>
      <c r="D165" s="478"/>
      <c r="E165" s="479"/>
      <c r="F165" s="580"/>
      <c r="G165" s="480"/>
      <c r="H165" s="580"/>
      <c r="I165" s="483"/>
      <c r="J165" s="146"/>
      <c r="K165" s="297"/>
      <c r="L165" s="541"/>
      <c r="M165" s="469"/>
      <c r="N165" s="262"/>
      <c r="O165" s="348" t="s">
        <v>280</v>
      </c>
      <c r="P165" s="349" t="s">
        <v>79</v>
      </c>
      <c r="Q165" s="476"/>
      <c r="R165" s="467"/>
      <c r="S165" s="467"/>
      <c r="T165" s="476"/>
      <c r="U165" s="490" t="str">
        <f>IF(ISERROR(VLOOKUP($T165, 'Reference data'!$J$2:$K$139, 2, FALSE)),"-",VLOOKUP($T165, 'Reference data'!$J$2:$K$139, 2, FALSE))</f>
        <v>-</v>
      </c>
      <c r="V165" s="147"/>
      <c r="W165" s="147"/>
      <c r="X165" s="471"/>
      <c r="Y165" s="472"/>
      <c r="Z165" s="144"/>
      <c r="AA165" s="508"/>
      <c r="AB165" s="163"/>
      <c r="AC165" s="148"/>
      <c r="AD165" s="480"/>
      <c r="AE165" s="348" t="s">
        <v>280</v>
      </c>
      <c r="AF165" s="354" t="s">
        <v>79</v>
      </c>
      <c r="AG165" s="484"/>
    </row>
    <row r="166" spans="2:33" s="434" customFormat="1">
      <c r="B166" s="493" t="str">
        <f>IF(AND(Validator!G160=TRUE,Validator!G410=TRUE,Validator!G660=TRUE,Validator!G910=TRUE,Validator!G1160=TRUE,Validator!G1410=TRUE),"Valid","Invalid")</f>
        <v>Valid</v>
      </c>
      <c r="C166" s="144"/>
      <c r="D166" s="478"/>
      <c r="E166" s="479"/>
      <c r="F166" s="580"/>
      <c r="G166" s="480"/>
      <c r="H166" s="580"/>
      <c r="I166" s="483"/>
      <c r="J166" s="146"/>
      <c r="K166" s="297"/>
      <c r="L166" s="541"/>
      <c r="M166" s="469"/>
      <c r="N166" s="262"/>
      <c r="O166" s="348" t="s">
        <v>280</v>
      </c>
      <c r="P166" s="349" t="s">
        <v>79</v>
      </c>
      <c r="Q166" s="476"/>
      <c r="R166" s="467"/>
      <c r="S166" s="467"/>
      <c r="T166" s="476"/>
      <c r="U166" s="490" t="str">
        <f>IF(ISERROR(VLOOKUP($T166, 'Reference data'!$J$2:$K$139, 2, FALSE)),"-",VLOOKUP($T166, 'Reference data'!$J$2:$K$139, 2, FALSE))</f>
        <v>-</v>
      </c>
      <c r="V166" s="147"/>
      <c r="W166" s="147"/>
      <c r="X166" s="471"/>
      <c r="Y166" s="472"/>
      <c r="Z166" s="144"/>
      <c r="AA166" s="508"/>
      <c r="AB166" s="163"/>
      <c r="AC166" s="148"/>
      <c r="AD166" s="480"/>
      <c r="AE166" s="348" t="s">
        <v>280</v>
      </c>
      <c r="AF166" s="354" t="s">
        <v>79</v>
      </c>
      <c r="AG166" s="484"/>
    </row>
    <row r="167" spans="2:33" s="434" customFormat="1">
      <c r="B167" s="493" t="str">
        <f>IF(AND(Validator!G161=TRUE,Validator!G411=TRUE,Validator!G661=TRUE,Validator!G911=TRUE,Validator!G1161=TRUE,Validator!G1411=TRUE),"Valid","Invalid")</f>
        <v>Valid</v>
      </c>
      <c r="C167" s="144"/>
      <c r="D167" s="478"/>
      <c r="E167" s="479"/>
      <c r="F167" s="580"/>
      <c r="G167" s="480"/>
      <c r="H167" s="580"/>
      <c r="I167" s="483"/>
      <c r="J167" s="146"/>
      <c r="K167" s="297"/>
      <c r="L167" s="541"/>
      <c r="M167" s="469"/>
      <c r="N167" s="262"/>
      <c r="O167" s="348" t="s">
        <v>280</v>
      </c>
      <c r="P167" s="349" t="s">
        <v>79</v>
      </c>
      <c r="Q167" s="476"/>
      <c r="R167" s="467"/>
      <c r="S167" s="467"/>
      <c r="T167" s="476"/>
      <c r="U167" s="490" t="str">
        <f>IF(ISERROR(VLOOKUP($T167, 'Reference data'!$J$2:$K$139, 2, FALSE)),"-",VLOOKUP($T167, 'Reference data'!$J$2:$K$139, 2, FALSE))</f>
        <v>-</v>
      </c>
      <c r="V167" s="147"/>
      <c r="W167" s="147"/>
      <c r="X167" s="471"/>
      <c r="Y167" s="472"/>
      <c r="Z167" s="144"/>
      <c r="AA167" s="508"/>
      <c r="AB167" s="163"/>
      <c r="AC167" s="148"/>
      <c r="AD167" s="480"/>
      <c r="AE167" s="348" t="s">
        <v>280</v>
      </c>
      <c r="AF167" s="354" t="s">
        <v>79</v>
      </c>
      <c r="AG167" s="484"/>
    </row>
    <row r="168" spans="2:33" s="434" customFormat="1">
      <c r="B168" s="493" t="str">
        <f>IF(AND(Validator!G162=TRUE,Validator!G412=TRUE,Validator!G662=TRUE,Validator!G912=TRUE,Validator!G1162=TRUE,Validator!G1412=TRUE),"Valid","Invalid")</f>
        <v>Valid</v>
      </c>
      <c r="C168" s="144"/>
      <c r="D168" s="478"/>
      <c r="E168" s="479"/>
      <c r="F168" s="580"/>
      <c r="G168" s="480"/>
      <c r="H168" s="580"/>
      <c r="I168" s="483"/>
      <c r="J168" s="146"/>
      <c r="K168" s="297"/>
      <c r="L168" s="541"/>
      <c r="M168" s="469"/>
      <c r="N168" s="262"/>
      <c r="O168" s="348" t="s">
        <v>280</v>
      </c>
      <c r="P168" s="349" t="s">
        <v>79</v>
      </c>
      <c r="Q168" s="476"/>
      <c r="R168" s="467"/>
      <c r="S168" s="467"/>
      <c r="T168" s="476"/>
      <c r="U168" s="490" t="str">
        <f>IF(ISERROR(VLOOKUP($T168, 'Reference data'!$J$2:$K$139, 2, FALSE)),"-",VLOOKUP($T168, 'Reference data'!$J$2:$K$139, 2, FALSE))</f>
        <v>-</v>
      </c>
      <c r="V168" s="147"/>
      <c r="W168" s="147"/>
      <c r="X168" s="471"/>
      <c r="Y168" s="472"/>
      <c r="Z168" s="144"/>
      <c r="AA168" s="508"/>
      <c r="AB168" s="163"/>
      <c r="AC168" s="148"/>
      <c r="AD168" s="480"/>
      <c r="AE168" s="348" t="s">
        <v>280</v>
      </c>
      <c r="AF168" s="354" t="s">
        <v>79</v>
      </c>
      <c r="AG168" s="484"/>
    </row>
    <row r="169" spans="2:33" s="434" customFormat="1">
      <c r="B169" s="493" t="str">
        <f>IF(AND(Validator!G163=TRUE,Validator!G413=TRUE,Validator!G663=TRUE,Validator!G913=TRUE,Validator!G1163=TRUE,Validator!G1413=TRUE),"Valid","Invalid")</f>
        <v>Valid</v>
      </c>
      <c r="C169" s="144"/>
      <c r="D169" s="478"/>
      <c r="E169" s="479"/>
      <c r="F169" s="580"/>
      <c r="G169" s="480"/>
      <c r="H169" s="580"/>
      <c r="I169" s="483"/>
      <c r="J169" s="146"/>
      <c r="K169" s="297"/>
      <c r="L169" s="541"/>
      <c r="M169" s="469"/>
      <c r="N169" s="262"/>
      <c r="O169" s="348" t="s">
        <v>280</v>
      </c>
      <c r="P169" s="349" t="s">
        <v>79</v>
      </c>
      <c r="Q169" s="476"/>
      <c r="R169" s="467"/>
      <c r="S169" s="467"/>
      <c r="T169" s="476"/>
      <c r="U169" s="490" t="str">
        <f>IF(ISERROR(VLOOKUP($T169, 'Reference data'!$J$2:$K$139, 2, FALSE)),"-",VLOOKUP($T169, 'Reference data'!$J$2:$K$139, 2, FALSE))</f>
        <v>-</v>
      </c>
      <c r="V169" s="147"/>
      <c r="W169" s="147"/>
      <c r="X169" s="471"/>
      <c r="Y169" s="472"/>
      <c r="Z169" s="144"/>
      <c r="AA169" s="508"/>
      <c r="AB169" s="163"/>
      <c r="AC169" s="148"/>
      <c r="AD169" s="480"/>
      <c r="AE169" s="348" t="s">
        <v>280</v>
      </c>
      <c r="AF169" s="354" t="s">
        <v>79</v>
      </c>
      <c r="AG169" s="484"/>
    </row>
    <row r="170" spans="2:33" s="434" customFormat="1">
      <c r="B170" s="493" t="str">
        <f>IF(AND(Validator!G164=TRUE,Validator!G414=TRUE,Validator!G664=TRUE,Validator!G914=TRUE,Validator!G1164=TRUE,Validator!G1414=TRUE),"Valid","Invalid")</f>
        <v>Valid</v>
      </c>
      <c r="C170" s="144"/>
      <c r="D170" s="478"/>
      <c r="E170" s="479"/>
      <c r="F170" s="580"/>
      <c r="G170" s="480"/>
      <c r="H170" s="580"/>
      <c r="I170" s="483"/>
      <c r="J170" s="146"/>
      <c r="K170" s="297"/>
      <c r="L170" s="541"/>
      <c r="M170" s="469"/>
      <c r="N170" s="262"/>
      <c r="O170" s="348" t="s">
        <v>280</v>
      </c>
      <c r="P170" s="349" t="s">
        <v>79</v>
      </c>
      <c r="Q170" s="476"/>
      <c r="R170" s="467"/>
      <c r="S170" s="467"/>
      <c r="T170" s="476"/>
      <c r="U170" s="490" t="str">
        <f>IF(ISERROR(VLOOKUP($T170, 'Reference data'!$J$2:$K$139, 2, FALSE)),"-",VLOOKUP($T170, 'Reference data'!$J$2:$K$139, 2, FALSE))</f>
        <v>-</v>
      </c>
      <c r="V170" s="147"/>
      <c r="W170" s="147"/>
      <c r="X170" s="471"/>
      <c r="Y170" s="472"/>
      <c r="Z170" s="144"/>
      <c r="AA170" s="508"/>
      <c r="AB170" s="163"/>
      <c r="AC170" s="148"/>
      <c r="AD170" s="480"/>
      <c r="AE170" s="348" t="s">
        <v>280</v>
      </c>
      <c r="AF170" s="354" t="s">
        <v>79</v>
      </c>
      <c r="AG170" s="484"/>
    </row>
    <row r="171" spans="2:33" s="434" customFormat="1">
      <c r="B171" s="493" t="str">
        <f>IF(AND(Validator!G165=TRUE,Validator!G415=TRUE,Validator!G665=TRUE,Validator!G915=TRUE,Validator!G1165=TRUE,Validator!G1415=TRUE),"Valid","Invalid")</f>
        <v>Valid</v>
      </c>
      <c r="C171" s="144"/>
      <c r="D171" s="478"/>
      <c r="E171" s="479"/>
      <c r="F171" s="580"/>
      <c r="G171" s="480"/>
      <c r="H171" s="580"/>
      <c r="I171" s="483"/>
      <c r="J171" s="146"/>
      <c r="K171" s="297"/>
      <c r="L171" s="541"/>
      <c r="M171" s="469"/>
      <c r="N171" s="262"/>
      <c r="O171" s="348" t="s">
        <v>280</v>
      </c>
      <c r="P171" s="349" t="s">
        <v>79</v>
      </c>
      <c r="Q171" s="476"/>
      <c r="R171" s="467"/>
      <c r="S171" s="467"/>
      <c r="T171" s="476"/>
      <c r="U171" s="490" t="str">
        <f>IF(ISERROR(VLOOKUP($T171, 'Reference data'!$J$2:$K$139, 2, FALSE)),"-",VLOOKUP($T171, 'Reference data'!$J$2:$K$139, 2, FALSE))</f>
        <v>-</v>
      </c>
      <c r="V171" s="147"/>
      <c r="W171" s="147"/>
      <c r="X171" s="471"/>
      <c r="Y171" s="472"/>
      <c r="Z171" s="144"/>
      <c r="AA171" s="508"/>
      <c r="AB171" s="163"/>
      <c r="AC171" s="148"/>
      <c r="AD171" s="480"/>
      <c r="AE171" s="348" t="s">
        <v>280</v>
      </c>
      <c r="AF171" s="354" t="s">
        <v>79</v>
      </c>
      <c r="AG171" s="484"/>
    </row>
    <row r="172" spans="2:33" s="434" customFormat="1">
      <c r="B172" s="493" t="str">
        <f>IF(AND(Validator!G166=TRUE,Validator!G416=TRUE,Validator!G666=TRUE,Validator!G916=TRUE,Validator!G1166=TRUE,Validator!G1416=TRUE),"Valid","Invalid")</f>
        <v>Valid</v>
      </c>
      <c r="C172" s="144"/>
      <c r="D172" s="478"/>
      <c r="E172" s="479"/>
      <c r="F172" s="580"/>
      <c r="G172" s="480"/>
      <c r="H172" s="580"/>
      <c r="I172" s="483"/>
      <c r="J172" s="146"/>
      <c r="K172" s="297"/>
      <c r="L172" s="541"/>
      <c r="M172" s="469"/>
      <c r="N172" s="262"/>
      <c r="O172" s="348" t="s">
        <v>280</v>
      </c>
      <c r="P172" s="349" t="s">
        <v>79</v>
      </c>
      <c r="Q172" s="476"/>
      <c r="R172" s="467"/>
      <c r="S172" s="467"/>
      <c r="T172" s="476"/>
      <c r="U172" s="490" t="str">
        <f>IF(ISERROR(VLOOKUP($T172, 'Reference data'!$J$2:$K$139, 2, FALSE)),"-",VLOOKUP($T172, 'Reference data'!$J$2:$K$139, 2, FALSE))</f>
        <v>-</v>
      </c>
      <c r="V172" s="147"/>
      <c r="W172" s="147"/>
      <c r="X172" s="471"/>
      <c r="Y172" s="472"/>
      <c r="Z172" s="144"/>
      <c r="AA172" s="508"/>
      <c r="AB172" s="163"/>
      <c r="AC172" s="148"/>
      <c r="AD172" s="480"/>
      <c r="AE172" s="348" t="s">
        <v>280</v>
      </c>
      <c r="AF172" s="354" t="s">
        <v>79</v>
      </c>
      <c r="AG172" s="484"/>
    </row>
    <row r="173" spans="2:33" s="434" customFormat="1">
      <c r="B173" s="493" t="str">
        <f>IF(AND(Validator!G167=TRUE,Validator!G417=TRUE,Validator!G667=TRUE,Validator!G917=TRUE,Validator!G1167=TRUE,Validator!G1417=TRUE),"Valid","Invalid")</f>
        <v>Valid</v>
      </c>
      <c r="C173" s="144"/>
      <c r="D173" s="478"/>
      <c r="E173" s="479"/>
      <c r="F173" s="580"/>
      <c r="G173" s="480"/>
      <c r="H173" s="580"/>
      <c r="I173" s="483"/>
      <c r="J173" s="146"/>
      <c r="K173" s="297"/>
      <c r="L173" s="541"/>
      <c r="M173" s="469"/>
      <c r="N173" s="262"/>
      <c r="O173" s="348" t="s">
        <v>280</v>
      </c>
      <c r="P173" s="349" t="s">
        <v>79</v>
      </c>
      <c r="Q173" s="476"/>
      <c r="R173" s="467"/>
      <c r="S173" s="467"/>
      <c r="T173" s="476"/>
      <c r="U173" s="490" t="str">
        <f>IF(ISERROR(VLOOKUP($T173, 'Reference data'!$J$2:$K$139, 2, FALSE)),"-",VLOOKUP($T173, 'Reference data'!$J$2:$K$139, 2, FALSE))</f>
        <v>-</v>
      </c>
      <c r="V173" s="147"/>
      <c r="W173" s="147"/>
      <c r="X173" s="471"/>
      <c r="Y173" s="472"/>
      <c r="Z173" s="144"/>
      <c r="AA173" s="508"/>
      <c r="AB173" s="163"/>
      <c r="AC173" s="148"/>
      <c r="AD173" s="480"/>
      <c r="AE173" s="348" t="s">
        <v>280</v>
      </c>
      <c r="AF173" s="354" t="s">
        <v>79</v>
      </c>
      <c r="AG173" s="484"/>
    </row>
    <row r="174" spans="2:33" s="434" customFormat="1">
      <c r="B174" s="493" t="str">
        <f>IF(AND(Validator!G168=TRUE,Validator!G418=TRUE,Validator!G668=TRUE,Validator!G918=TRUE,Validator!G1168=TRUE,Validator!G1418=TRUE),"Valid","Invalid")</f>
        <v>Valid</v>
      </c>
      <c r="C174" s="144"/>
      <c r="D174" s="478"/>
      <c r="E174" s="479"/>
      <c r="F174" s="580"/>
      <c r="G174" s="480"/>
      <c r="H174" s="580"/>
      <c r="I174" s="483"/>
      <c r="J174" s="146"/>
      <c r="K174" s="297"/>
      <c r="L174" s="541"/>
      <c r="M174" s="469"/>
      <c r="N174" s="262"/>
      <c r="O174" s="348" t="s">
        <v>280</v>
      </c>
      <c r="P174" s="349" t="s">
        <v>79</v>
      </c>
      <c r="Q174" s="476"/>
      <c r="R174" s="467"/>
      <c r="S174" s="467"/>
      <c r="T174" s="476"/>
      <c r="U174" s="490" t="str">
        <f>IF(ISERROR(VLOOKUP($T174, 'Reference data'!$J$2:$K$139, 2, FALSE)),"-",VLOOKUP($T174, 'Reference data'!$J$2:$K$139, 2, FALSE))</f>
        <v>-</v>
      </c>
      <c r="V174" s="147"/>
      <c r="W174" s="147"/>
      <c r="X174" s="471"/>
      <c r="Y174" s="472"/>
      <c r="Z174" s="144"/>
      <c r="AA174" s="508"/>
      <c r="AB174" s="163"/>
      <c r="AC174" s="148"/>
      <c r="AD174" s="480"/>
      <c r="AE174" s="348" t="s">
        <v>280</v>
      </c>
      <c r="AF174" s="354" t="s">
        <v>79</v>
      </c>
      <c r="AG174" s="484"/>
    </row>
    <row r="175" spans="2:33" s="434" customFormat="1">
      <c r="B175" s="493" t="str">
        <f>IF(AND(Validator!G169=TRUE,Validator!G419=TRUE,Validator!G669=TRUE,Validator!G919=TRUE,Validator!G1169=TRUE,Validator!G1419=TRUE),"Valid","Invalid")</f>
        <v>Valid</v>
      </c>
      <c r="C175" s="144"/>
      <c r="D175" s="478"/>
      <c r="E175" s="479"/>
      <c r="F175" s="580"/>
      <c r="G175" s="480"/>
      <c r="H175" s="580"/>
      <c r="I175" s="483"/>
      <c r="J175" s="146"/>
      <c r="K175" s="297"/>
      <c r="L175" s="541"/>
      <c r="M175" s="469"/>
      <c r="N175" s="262"/>
      <c r="O175" s="348" t="s">
        <v>280</v>
      </c>
      <c r="P175" s="349" t="s">
        <v>79</v>
      </c>
      <c r="Q175" s="476"/>
      <c r="R175" s="467"/>
      <c r="S175" s="467"/>
      <c r="T175" s="476"/>
      <c r="U175" s="490" t="str">
        <f>IF(ISERROR(VLOOKUP($T175, 'Reference data'!$J$2:$K$139, 2, FALSE)),"-",VLOOKUP($T175, 'Reference data'!$J$2:$K$139, 2, FALSE))</f>
        <v>-</v>
      </c>
      <c r="V175" s="147"/>
      <c r="W175" s="147"/>
      <c r="X175" s="471"/>
      <c r="Y175" s="472"/>
      <c r="Z175" s="144"/>
      <c r="AA175" s="508"/>
      <c r="AB175" s="163"/>
      <c r="AC175" s="148"/>
      <c r="AD175" s="480"/>
      <c r="AE175" s="348" t="s">
        <v>280</v>
      </c>
      <c r="AF175" s="354" t="s">
        <v>79</v>
      </c>
      <c r="AG175" s="484"/>
    </row>
    <row r="176" spans="2:33" s="434" customFormat="1">
      <c r="B176" s="493" t="str">
        <f>IF(AND(Validator!G170=TRUE,Validator!G420=TRUE,Validator!G670=TRUE,Validator!G920=TRUE,Validator!G1170=TRUE,Validator!G1420=TRUE),"Valid","Invalid")</f>
        <v>Valid</v>
      </c>
      <c r="C176" s="144"/>
      <c r="D176" s="478"/>
      <c r="E176" s="479"/>
      <c r="F176" s="580"/>
      <c r="G176" s="480"/>
      <c r="H176" s="580"/>
      <c r="I176" s="483"/>
      <c r="J176" s="146"/>
      <c r="K176" s="297"/>
      <c r="L176" s="541"/>
      <c r="M176" s="469"/>
      <c r="N176" s="262"/>
      <c r="O176" s="348" t="s">
        <v>280</v>
      </c>
      <c r="P176" s="349" t="s">
        <v>79</v>
      </c>
      <c r="Q176" s="476"/>
      <c r="R176" s="467"/>
      <c r="S176" s="467"/>
      <c r="T176" s="476"/>
      <c r="U176" s="490" t="str">
        <f>IF(ISERROR(VLOOKUP($T176, 'Reference data'!$J$2:$K$139, 2, FALSE)),"-",VLOOKUP($T176, 'Reference data'!$J$2:$K$139, 2, FALSE))</f>
        <v>-</v>
      </c>
      <c r="V176" s="147"/>
      <c r="W176" s="147"/>
      <c r="X176" s="471"/>
      <c r="Y176" s="472"/>
      <c r="Z176" s="144"/>
      <c r="AA176" s="508"/>
      <c r="AB176" s="163"/>
      <c r="AC176" s="148"/>
      <c r="AD176" s="480"/>
      <c r="AE176" s="348" t="s">
        <v>280</v>
      </c>
      <c r="AF176" s="354" t="s">
        <v>79</v>
      </c>
      <c r="AG176" s="484"/>
    </row>
    <row r="177" spans="2:33" s="434" customFormat="1">
      <c r="B177" s="493" t="str">
        <f>IF(AND(Validator!G171=TRUE,Validator!G421=TRUE,Validator!G671=TRUE,Validator!G921=TRUE,Validator!G1171=TRUE,Validator!G1421=TRUE),"Valid","Invalid")</f>
        <v>Valid</v>
      </c>
      <c r="C177" s="144"/>
      <c r="D177" s="478"/>
      <c r="E177" s="479"/>
      <c r="F177" s="580"/>
      <c r="G177" s="480"/>
      <c r="H177" s="580"/>
      <c r="I177" s="483"/>
      <c r="J177" s="146"/>
      <c r="K177" s="297"/>
      <c r="L177" s="541"/>
      <c r="M177" s="469"/>
      <c r="N177" s="262"/>
      <c r="O177" s="348" t="s">
        <v>280</v>
      </c>
      <c r="P177" s="349" t="s">
        <v>79</v>
      </c>
      <c r="Q177" s="476"/>
      <c r="R177" s="467"/>
      <c r="S177" s="467"/>
      <c r="T177" s="476"/>
      <c r="U177" s="490" t="str">
        <f>IF(ISERROR(VLOOKUP($T177, 'Reference data'!$J$2:$K$139, 2, FALSE)),"-",VLOOKUP($T177, 'Reference data'!$J$2:$K$139, 2, FALSE))</f>
        <v>-</v>
      </c>
      <c r="V177" s="147"/>
      <c r="W177" s="147"/>
      <c r="X177" s="471"/>
      <c r="Y177" s="472"/>
      <c r="Z177" s="144"/>
      <c r="AA177" s="508"/>
      <c r="AB177" s="163"/>
      <c r="AC177" s="148"/>
      <c r="AD177" s="480"/>
      <c r="AE177" s="348" t="s">
        <v>280</v>
      </c>
      <c r="AF177" s="354" t="s">
        <v>79</v>
      </c>
      <c r="AG177" s="484"/>
    </row>
    <row r="178" spans="2:33" s="434" customFormat="1">
      <c r="B178" s="493" t="str">
        <f>IF(AND(Validator!G172=TRUE,Validator!G422=TRUE,Validator!G672=TRUE,Validator!G922=TRUE,Validator!G1172=TRUE,Validator!G1422=TRUE),"Valid","Invalid")</f>
        <v>Valid</v>
      </c>
      <c r="C178" s="144"/>
      <c r="D178" s="478"/>
      <c r="E178" s="479"/>
      <c r="F178" s="580"/>
      <c r="G178" s="480"/>
      <c r="H178" s="580"/>
      <c r="I178" s="483"/>
      <c r="J178" s="146"/>
      <c r="K178" s="297"/>
      <c r="L178" s="541"/>
      <c r="M178" s="469"/>
      <c r="N178" s="262"/>
      <c r="O178" s="348" t="s">
        <v>280</v>
      </c>
      <c r="P178" s="349" t="s">
        <v>79</v>
      </c>
      <c r="Q178" s="476"/>
      <c r="R178" s="467"/>
      <c r="S178" s="467"/>
      <c r="T178" s="476"/>
      <c r="U178" s="490" t="str">
        <f>IF(ISERROR(VLOOKUP($T178, 'Reference data'!$J$2:$K$139, 2, FALSE)),"-",VLOOKUP($T178, 'Reference data'!$J$2:$K$139, 2, FALSE))</f>
        <v>-</v>
      </c>
      <c r="V178" s="147"/>
      <c r="W178" s="147"/>
      <c r="X178" s="471"/>
      <c r="Y178" s="472"/>
      <c r="Z178" s="144"/>
      <c r="AA178" s="508"/>
      <c r="AB178" s="163"/>
      <c r="AC178" s="148"/>
      <c r="AD178" s="480"/>
      <c r="AE178" s="348" t="s">
        <v>280</v>
      </c>
      <c r="AF178" s="354" t="s">
        <v>79</v>
      </c>
      <c r="AG178" s="484"/>
    </row>
    <row r="179" spans="2:33" s="434" customFormat="1">
      <c r="B179" s="493" t="str">
        <f>IF(AND(Validator!G173=TRUE,Validator!G423=TRUE,Validator!G673=TRUE,Validator!G923=TRUE,Validator!G1173=TRUE,Validator!G1423=TRUE),"Valid","Invalid")</f>
        <v>Valid</v>
      </c>
      <c r="C179" s="144"/>
      <c r="D179" s="478"/>
      <c r="E179" s="479"/>
      <c r="F179" s="580"/>
      <c r="G179" s="480"/>
      <c r="H179" s="580"/>
      <c r="I179" s="483"/>
      <c r="J179" s="146"/>
      <c r="K179" s="297"/>
      <c r="L179" s="541"/>
      <c r="M179" s="469"/>
      <c r="N179" s="262"/>
      <c r="O179" s="348" t="s">
        <v>280</v>
      </c>
      <c r="P179" s="349" t="s">
        <v>79</v>
      </c>
      <c r="Q179" s="476"/>
      <c r="R179" s="467"/>
      <c r="S179" s="467"/>
      <c r="T179" s="476"/>
      <c r="U179" s="490" t="str">
        <f>IF(ISERROR(VLOOKUP($T179, 'Reference data'!$J$2:$K$139, 2, FALSE)),"-",VLOOKUP($T179, 'Reference data'!$J$2:$K$139, 2, FALSE))</f>
        <v>-</v>
      </c>
      <c r="V179" s="147"/>
      <c r="W179" s="147"/>
      <c r="X179" s="471"/>
      <c r="Y179" s="472"/>
      <c r="Z179" s="144"/>
      <c r="AA179" s="508"/>
      <c r="AB179" s="163"/>
      <c r="AC179" s="148"/>
      <c r="AD179" s="480"/>
      <c r="AE179" s="348" t="s">
        <v>280</v>
      </c>
      <c r="AF179" s="354" t="s">
        <v>79</v>
      </c>
      <c r="AG179" s="484"/>
    </row>
    <row r="180" spans="2:33" s="434" customFormat="1">
      <c r="B180" s="493" t="str">
        <f>IF(AND(Validator!G174=TRUE,Validator!G424=TRUE,Validator!G674=TRUE,Validator!G924=TRUE,Validator!G1174=TRUE,Validator!G1424=TRUE),"Valid","Invalid")</f>
        <v>Valid</v>
      </c>
      <c r="C180" s="144"/>
      <c r="D180" s="478"/>
      <c r="E180" s="479"/>
      <c r="F180" s="580"/>
      <c r="G180" s="480"/>
      <c r="H180" s="580"/>
      <c r="I180" s="483"/>
      <c r="J180" s="146"/>
      <c r="K180" s="297"/>
      <c r="L180" s="541"/>
      <c r="M180" s="469"/>
      <c r="N180" s="262"/>
      <c r="O180" s="348" t="s">
        <v>280</v>
      </c>
      <c r="P180" s="349" t="s">
        <v>79</v>
      </c>
      <c r="Q180" s="476"/>
      <c r="R180" s="467"/>
      <c r="S180" s="467"/>
      <c r="T180" s="476"/>
      <c r="U180" s="490" t="str">
        <f>IF(ISERROR(VLOOKUP($T180, 'Reference data'!$J$2:$K$139, 2, FALSE)),"-",VLOOKUP($T180, 'Reference data'!$J$2:$K$139, 2, FALSE))</f>
        <v>-</v>
      </c>
      <c r="V180" s="147"/>
      <c r="W180" s="147"/>
      <c r="X180" s="471"/>
      <c r="Y180" s="472"/>
      <c r="Z180" s="144"/>
      <c r="AA180" s="508"/>
      <c r="AB180" s="163"/>
      <c r="AC180" s="148"/>
      <c r="AD180" s="480"/>
      <c r="AE180" s="348" t="s">
        <v>280</v>
      </c>
      <c r="AF180" s="354" t="s">
        <v>79</v>
      </c>
      <c r="AG180" s="484"/>
    </row>
    <row r="181" spans="2:33" s="434" customFormat="1">
      <c r="B181" s="493" t="str">
        <f>IF(AND(Validator!G175=TRUE,Validator!G425=TRUE,Validator!G675=TRUE,Validator!G925=TRUE,Validator!G1175=TRUE,Validator!G1425=TRUE),"Valid","Invalid")</f>
        <v>Valid</v>
      </c>
      <c r="C181" s="144"/>
      <c r="D181" s="478"/>
      <c r="E181" s="479"/>
      <c r="F181" s="580"/>
      <c r="G181" s="480"/>
      <c r="H181" s="580"/>
      <c r="I181" s="483"/>
      <c r="J181" s="146"/>
      <c r="K181" s="297"/>
      <c r="L181" s="541"/>
      <c r="M181" s="469"/>
      <c r="N181" s="262"/>
      <c r="O181" s="348" t="s">
        <v>280</v>
      </c>
      <c r="P181" s="349" t="s">
        <v>79</v>
      </c>
      <c r="Q181" s="476"/>
      <c r="R181" s="467"/>
      <c r="S181" s="467"/>
      <c r="T181" s="476"/>
      <c r="U181" s="490" t="str">
        <f>IF(ISERROR(VLOOKUP($T181, 'Reference data'!$J$2:$K$139, 2, FALSE)),"-",VLOOKUP($T181, 'Reference data'!$J$2:$K$139, 2, FALSE))</f>
        <v>-</v>
      </c>
      <c r="V181" s="147"/>
      <c r="W181" s="147"/>
      <c r="X181" s="471"/>
      <c r="Y181" s="472"/>
      <c r="Z181" s="144"/>
      <c r="AA181" s="508"/>
      <c r="AB181" s="163"/>
      <c r="AC181" s="148"/>
      <c r="AD181" s="480"/>
      <c r="AE181" s="348" t="s">
        <v>280</v>
      </c>
      <c r="AF181" s="354" t="s">
        <v>79</v>
      </c>
      <c r="AG181" s="484"/>
    </row>
    <row r="182" spans="2:33" s="434" customFormat="1">
      <c r="B182" s="493" t="str">
        <f>IF(AND(Validator!G176=TRUE,Validator!G426=TRUE,Validator!G676=TRUE,Validator!G926=TRUE,Validator!G1176=TRUE,Validator!G1426=TRUE),"Valid","Invalid")</f>
        <v>Valid</v>
      </c>
      <c r="C182" s="144"/>
      <c r="D182" s="478"/>
      <c r="E182" s="479"/>
      <c r="F182" s="580"/>
      <c r="G182" s="480"/>
      <c r="H182" s="580"/>
      <c r="I182" s="483"/>
      <c r="J182" s="146"/>
      <c r="K182" s="297"/>
      <c r="L182" s="541"/>
      <c r="M182" s="469"/>
      <c r="N182" s="262"/>
      <c r="O182" s="348" t="s">
        <v>280</v>
      </c>
      <c r="P182" s="349" t="s">
        <v>79</v>
      </c>
      <c r="Q182" s="476"/>
      <c r="R182" s="467"/>
      <c r="S182" s="467"/>
      <c r="T182" s="476"/>
      <c r="U182" s="490" t="str">
        <f>IF(ISERROR(VLOOKUP($T182, 'Reference data'!$J$2:$K$139, 2, FALSE)),"-",VLOOKUP($T182, 'Reference data'!$J$2:$K$139, 2, FALSE))</f>
        <v>-</v>
      </c>
      <c r="V182" s="147"/>
      <c r="W182" s="147"/>
      <c r="X182" s="471"/>
      <c r="Y182" s="472"/>
      <c r="Z182" s="144"/>
      <c r="AA182" s="508"/>
      <c r="AB182" s="163"/>
      <c r="AC182" s="148"/>
      <c r="AD182" s="480"/>
      <c r="AE182" s="348" t="s">
        <v>280</v>
      </c>
      <c r="AF182" s="354" t="s">
        <v>79</v>
      </c>
      <c r="AG182" s="484"/>
    </row>
    <row r="183" spans="2:33" s="434" customFormat="1">
      <c r="B183" s="493" t="str">
        <f>IF(AND(Validator!G177=TRUE,Validator!G427=TRUE,Validator!G677=TRUE,Validator!G927=TRUE,Validator!G1177=TRUE,Validator!G1427=TRUE),"Valid","Invalid")</f>
        <v>Valid</v>
      </c>
      <c r="C183" s="144"/>
      <c r="D183" s="478"/>
      <c r="E183" s="479"/>
      <c r="F183" s="580"/>
      <c r="G183" s="480"/>
      <c r="H183" s="580"/>
      <c r="I183" s="483"/>
      <c r="J183" s="146"/>
      <c r="K183" s="297"/>
      <c r="L183" s="541"/>
      <c r="M183" s="469"/>
      <c r="N183" s="262"/>
      <c r="O183" s="348" t="s">
        <v>280</v>
      </c>
      <c r="P183" s="349" t="s">
        <v>79</v>
      </c>
      <c r="Q183" s="476"/>
      <c r="R183" s="467"/>
      <c r="S183" s="467"/>
      <c r="T183" s="476"/>
      <c r="U183" s="490" t="str">
        <f>IF(ISERROR(VLOOKUP($T183, 'Reference data'!$J$2:$K$139, 2, FALSE)),"-",VLOOKUP($T183, 'Reference data'!$J$2:$K$139, 2, FALSE))</f>
        <v>-</v>
      </c>
      <c r="V183" s="147"/>
      <c r="W183" s="147"/>
      <c r="X183" s="471"/>
      <c r="Y183" s="472"/>
      <c r="Z183" s="144"/>
      <c r="AA183" s="508"/>
      <c r="AB183" s="163"/>
      <c r="AC183" s="148"/>
      <c r="AD183" s="480"/>
      <c r="AE183" s="348" t="s">
        <v>280</v>
      </c>
      <c r="AF183" s="354" t="s">
        <v>79</v>
      </c>
      <c r="AG183" s="484"/>
    </row>
    <row r="184" spans="2:33" s="434" customFormat="1">
      <c r="B184" s="493" t="str">
        <f>IF(AND(Validator!G178=TRUE,Validator!G428=TRUE,Validator!G678=TRUE,Validator!G928=TRUE,Validator!G1178=TRUE,Validator!G1428=TRUE),"Valid","Invalid")</f>
        <v>Valid</v>
      </c>
      <c r="C184" s="144"/>
      <c r="D184" s="478"/>
      <c r="E184" s="479"/>
      <c r="F184" s="580"/>
      <c r="G184" s="480"/>
      <c r="H184" s="580"/>
      <c r="I184" s="483"/>
      <c r="J184" s="146"/>
      <c r="K184" s="297"/>
      <c r="L184" s="541"/>
      <c r="M184" s="469"/>
      <c r="N184" s="262"/>
      <c r="O184" s="348" t="s">
        <v>280</v>
      </c>
      <c r="P184" s="349" t="s">
        <v>79</v>
      </c>
      <c r="Q184" s="476"/>
      <c r="R184" s="467"/>
      <c r="S184" s="467"/>
      <c r="T184" s="476"/>
      <c r="U184" s="490" t="str">
        <f>IF(ISERROR(VLOOKUP($T184, 'Reference data'!$J$2:$K$139, 2, FALSE)),"-",VLOOKUP($T184, 'Reference data'!$J$2:$K$139, 2, FALSE))</f>
        <v>-</v>
      </c>
      <c r="V184" s="147"/>
      <c r="W184" s="147"/>
      <c r="X184" s="471"/>
      <c r="Y184" s="472"/>
      <c r="Z184" s="144"/>
      <c r="AA184" s="508"/>
      <c r="AB184" s="163"/>
      <c r="AC184" s="148"/>
      <c r="AD184" s="480"/>
      <c r="AE184" s="348" t="s">
        <v>280</v>
      </c>
      <c r="AF184" s="354" t="s">
        <v>79</v>
      </c>
      <c r="AG184" s="484"/>
    </row>
    <row r="185" spans="2:33" s="434" customFormat="1">
      <c r="B185" s="493" t="str">
        <f>IF(AND(Validator!G179=TRUE,Validator!G429=TRUE,Validator!G679=TRUE,Validator!G929=TRUE,Validator!G1179=TRUE,Validator!G1429=TRUE),"Valid","Invalid")</f>
        <v>Valid</v>
      </c>
      <c r="C185" s="144"/>
      <c r="D185" s="478"/>
      <c r="E185" s="479"/>
      <c r="F185" s="580"/>
      <c r="G185" s="480"/>
      <c r="H185" s="580"/>
      <c r="I185" s="483"/>
      <c r="J185" s="146"/>
      <c r="K185" s="297"/>
      <c r="L185" s="541"/>
      <c r="M185" s="469"/>
      <c r="N185" s="262"/>
      <c r="O185" s="348" t="s">
        <v>280</v>
      </c>
      <c r="P185" s="349" t="s">
        <v>79</v>
      </c>
      <c r="Q185" s="476"/>
      <c r="R185" s="467"/>
      <c r="S185" s="467"/>
      <c r="T185" s="476"/>
      <c r="U185" s="490" t="str">
        <f>IF(ISERROR(VLOOKUP($T185, 'Reference data'!$J$2:$K$139, 2, FALSE)),"-",VLOOKUP($T185, 'Reference data'!$J$2:$K$139, 2, FALSE))</f>
        <v>-</v>
      </c>
      <c r="V185" s="147"/>
      <c r="W185" s="147"/>
      <c r="X185" s="471"/>
      <c r="Y185" s="472"/>
      <c r="Z185" s="144"/>
      <c r="AA185" s="508"/>
      <c r="AB185" s="163"/>
      <c r="AC185" s="148"/>
      <c r="AD185" s="480"/>
      <c r="AE185" s="348" t="s">
        <v>280</v>
      </c>
      <c r="AF185" s="354" t="s">
        <v>79</v>
      </c>
      <c r="AG185" s="484"/>
    </row>
    <row r="186" spans="2:33" s="434" customFormat="1">
      <c r="B186" s="493" t="str">
        <f>IF(AND(Validator!G180=TRUE,Validator!G430=TRUE,Validator!G680=TRUE,Validator!G930=TRUE,Validator!G1180=TRUE,Validator!G1430=TRUE),"Valid","Invalid")</f>
        <v>Valid</v>
      </c>
      <c r="C186" s="144"/>
      <c r="D186" s="478"/>
      <c r="E186" s="479"/>
      <c r="F186" s="580"/>
      <c r="G186" s="480"/>
      <c r="H186" s="580"/>
      <c r="I186" s="483"/>
      <c r="J186" s="146"/>
      <c r="K186" s="297"/>
      <c r="L186" s="541"/>
      <c r="M186" s="469"/>
      <c r="N186" s="262"/>
      <c r="O186" s="348" t="s">
        <v>280</v>
      </c>
      <c r="P186" s="349" t="s">
        <v>79</v>
      </c>
      <c r="Q186" s="476"/>
      <c r="R186" s="467"/>
      <c r="S186" s="467"/>
      <c r="T186" s="476"/>
      <c r="U186" s="490" t="str">
        <f>IF(ISERROR(VLOOKUP($T186, 'Reference data'!$J$2:$K$139, 2, FALSE)),"-",VLOOKUP($T186, 'Reference data'!$J$2:$K$139, 2, FALSE))</f>
        <v>-</v>
      </c>
      <c r="V186" s="147"/>
      <c r="W186" s="147"/>
      <c r="X186" s="471"/>
      <c r="Y186" s="472"/>
      <c r="Z186" s="144"/>
      <c r="AA186" s="508"/>
      <c r="AB186" s="163"/>
      <c r="AC186" s="148"/>
      <c r="AD186" s="480"/>
      <c r="AE186" s="348" t="s">
        <v>280</v>
      </c>
      <c r="AF186" s="354" t="s">
        <v>79</v>
      </c>
      <c r="AG186" s="484"/>
    </row>
    <row r="187" spans="2:33" s="434" customFormat="1">
      <c r="B187" s="493" t="str">
        <f>IF(AND(Validator!G181=TRUE,Validator!G431=TRUE,Validator!G681=TRUE,Validator!G931=TRUE,Validator!G1181=TRUE,Validator!G1431=TRUE),"Valid","Invalid")</f>
        <v>Valid</v>
      </c>
      <c r="C187" s="144"/>
      <c r="D187" s="478"/>
      <c r="E187" s="479"/>
      <c r="F187" s="580"/>
      <c r="G187" s="480"/>
      <c r="H187" s="580"/>
      <c r="I187" s="483"/>
      <c r="J187" s="146"/>
      <c r="K187" s="297"/>
      <c r="L187" s="541"/>
      <c r="M187" s="469"/>
      <c r="N187" s="262"/>
      <c r="O187" s="348" t="s">
        <v>280</v>
      </c>
      <c r="P187" s="349" t="s">
        <v>79</v>
      </c>
      <c r="Q187" s="476"/>
      <c r="R187" s="467"/>
      <c r="S187" s="467"/>
      <c r="T187" s="476"/>
      <c r="U187" s="490" t="str">
        <f>IF(ISERROR(VLOOKUP($T187, 'Reference data'!$J$2:$K$139, 2, FALSE)),"-",VLOOKUP($T187, 'Reference data'!$J$2:$K$139, 2, FALSE))</f>
        <v>-</v>
      </c>
      <c r="V187" s="147"/>
      <c r="W187" s="147"/>
      <c r="X187" s="471"/>
      <c r="Y187" s="472"/>
      <c r="Z187" s="144"/>
      <c r="AA187" s="508"/>
      <c r="AB187" s="163"/>
      <c r="AC187" s="148"/>
      <c r="AD187" s="480"/>
      <c r="AE187" s="348" t="s">
        <v>280</v>
      </c>
      <c r="AF187" s="354" t="s">
        <v>79</v>
      </c>
      <c r="AG187" s="484"/>
    </row>
    <row r="188" spans="2:33" s="434" customFormat="1">
      <c r="B188" s="493" t="str">
        <f>IF(AND(Validator!G182=TRUE,Validator!G432=TRUE,Validator!G682=TRUE,Validator!G932=TRUE,Validator!G1182=TRUE,Validator!G1432=TRUE),"Valid","Invalid")</f>
        <v>Valid</v>
      </c>
      <c r="C188" s="144"/>
      <c r="D188" s="478"/>
      <c r="E188" s="479"/>
      <c r="F188" s="580"/>
      <c r="G188" s="480"/>
      <c r="H188" s="580"/>
      <c r="I188" s="483"/>
      <c r="J188" s="146"/>
      <c r="K188" s="297"/>
      <c r="L188" s="541"/>
      <c r="M188" s="469"/>
      <c r="N188" s="262"/>
      <c r="O188" s="348" t="s">
        <v>280</v>
      </c>
      <c r="P188" s="349" t="s">
        <v>79</v>
      </c>
      <c r="Q188" s="476"/>
      <c r="R188" s="467"/>
      <c r="S188" s="467"/>
      <c r="T188" s="476"/>
      <c r="U188" s="490" t="str">
        <f>IF(ISERROR(VLOOKUP($T188, 'Reference data'!$J$2:$K$139, 2, FALSE)),"-",VLOOKUP($T188, 'Reference data'!$J$2:$K$139, 2, FALSE))</f>
        <v>-</v>
      </c>
      <c r="V188" s="147"/>
      <c r="W188" s="147"/>
      <c r="X188" s="471"/>
      <c r="Y188" s="472"/>
      <c r="Z188" s="144"/>
      <c r="AA188" s="508"/>
      <c r="AB188" s="163"/>
      <c r="AC188" s="148"/>
      <c r="AD188" s="480"/>
      <c r="AE188" s="348" t="s">
        <v>280</v>
      </c>
      <c r="AF188" s="354" t="s">
        <v>79</v>
      </c>
      <c r="AG188" s="484"/>
    </row>
    <row r="189" spans="2:33" s="434" customFormat="1">
      <c r="B189" s="493" t="str">
        <f>IF(AND(Validator!G183=TRUE,Validator!G433=TRUE,Validator!G683=TRUE,Validator!G933=TRUE,Validator!G1183=TRUE,Validator!G1433=TRUE),"Valid","Invalid")</f>
        <v>Valid</v>
      </c>
      <c r="C189" s="144"/>
      <c r="D189" s="478"/>
      <c r="E189" s="479"/>
      <c r="F189" s="580"/>
      <c r="G189" s="480"/>
      <c r="H189" s="580"/>
      <c r="I189" s="483"/>
      <c r="J189" s="146"/>
      <c r="K189" s="297"/>
      <c r="L189" s="541"/>
      <c r="M189" s="469"/>
      <c r="N189" s="262"/>
      <c r="O189" s="348" t="s">
        <v>280</v>
      </c>
      <c r="P189" s="349" t="s">
        <v>79</v>
      </c>
      <c r="Q189" s="476"/>
      <c r="R189" s="467"/>
      <c r="S189" s="467"/>
      <c r="T189" s="476"/>
      <c r="U189" s="490" t="str">
        <f>IF(ISERROR(VLOOKUP($T189, 'Reference data'!$J$2:$K$139, 2, FALSE)),"-",VLOOKUP($T189, 'Reference data'!$J$2:$K$139, 2, FALSE))</f>
        <v>-</v>
      </c>
      <c r="V189" s="147"/>
      <c r="W189" s="147"/>
      <c r="X189" s="471"/>
      <c r="Y189" s="472"/>
      <c r="Z189" s="144"/>
      <c r="AA189" s="508"/>
      <c r="AB189" s="163"/>
      <c r="AC189" s="148"/>
      <c r="AD189" s="480"/>
      <c r="AE189" s="348" t="s">
        <v>280</v>
      </c>
      <c r="AF189" s="354" t="s">
        <v>79</v>
      </c>
      <c r="AG189" s="484"/>
    </row>
    <row r="190" spans="2:33" s="434" customFormat="1">
      <c r="B190" s="493" t="str">
        <f>IF(AND(Validator!G184=TRUE,Validator!G434=TRUE,Validator!G684=TRUE,Validator!G934=TRUE,Validator!G1184=TRUE,Validator!G1434=TRUE),"Valid","Invalid")</f>
        <v>Valid</v>
      </c>
      <c r="C190" s="144"/>
      <c r="D190" s="478"/>
      <c r="E190" s="479"/>
      <c r="F190" s="580"/>
      <c r="G190" s="480"/>
      <c r="H190" s="580"/>
      <c r="I190" s="483"/>
      <c r="J190" s="146"/>
      <c r="K190" s="297"/>
      <c r="L190" s="541"/>
      <c r="M190" s="469"/>
      <c r="N190" s="262"/>
      <c r="O190" s="348" t="s">
        <v>280</v>
      </c>
      <c r="P190" s="349" t="s">
        <v>79</v>
      </c>
      <c r="Q190" s="476"/>
      <c r="R190" s="467"/>
      <c r="S190" s="467"/>
      <c r="T190" s="476"/>
      <c r="U190" s="490" t="str">
        <f>IF(ISERROR(VLOOKUP($T190, 'Reference data'!$J$2:$K$139, 2, FALSE)),"-",VLOOKUP($T190, 'Reference data'!$J$2:$K$139, 2, FALSE))</f>
        <v>-</v>
      </c>
      <c r="V190" s="147"/>
      <c r="W190" s="147"/>
      <c r="X190" s="471"/>
      <c r="Y190" s="472"/>
      <c r="Z190" s="144"/>
      <c r="AA190" s="508"/>
      <c r="AB190" s="163"/>
      <c r="AC190" s="148"/>
      <c r="AD190" s="480"/>
      <c r="AE190" s="348" t="s">
        <v>280</v>
      </c>
      <c r="AF190" s="354" t="s">
        <v>79</v>
      </c>
      <c r="AG190" s="484"/>
    </row>
    <row r="191" spans="2:33" s="434" customFormat="1">
      <c r="B191" s="493" t="str">
        <f>IF(AND(Validator!G185=TRUE,Validator!G435=TRUE,Validator!G685=TRUE,Validator!G935=TRUE,Validator!G1185=TRUE,Validator!G1435=TRUE),"Valid","Invalid")</f>
        <v>Valid</v>
      </c>
      <c r="C191" s="144"/>
      <c r="D191" s="478"/>
      <c r="E191" s="479"/>
      <c r="F191" s="580"/>
      <c r="G191" s="480"/>
      <c r="H191" s="580"/>
      <c r="I191" s="483"/>
      <c r="J191" s="146"/>
      <c r="K191" s="297"/>
      <c r="L191" s="541"/>
      <c r="M191" s="469"/>
      <c r="N191" s="262"/>
      <c r="O191" s="348" t="s">
        <v>280</v>
      </c>
      <c r="P191" s="349" t="s">
        <v>79</v>
      </c>
      <c r="Q191" s="476"/>
      <c r="R191" s="467"/>
      <c r="S191" s="467"/>
      <c r="T191" s="476"/>
      <c r="U191" s="490" t="str">
        <f>IF(ISERROR(VLOOKUP($T191, 'Reference data'!$J$2:$K$139, 2, FALSE)),"-",VLOOKUP($T191, 'Reference data'!$J$2:$K$139, 2, FALSE))</f>
        <v>-</v>
      </c>
      <c r="V191" s="147"/>
      <c r="W191" s="147"/>
      <c r="X191" s="471"/>
      <c r="Y191" s="472"/>
      <c r="Z191" s="144"/>
      <c r="AA191" s="508"/>
      <c r="AB191" s="163"/>
      <c r="AC191" s="148"/>
      <c r="AD191" s="480"/>
      <c r="AE191" s="348" t="s">
        <v>280</v>
      </c>
      <c r="AF191" s="354" t="s">
        <v>79</v>
      </c>
      <c r="AG191" s="484"/>
    </row>
    <row r="192" spans="2:33" s="434" customFormat="1">
      <c r="B192" s="493" t="str">
        <f>IF(AND(Validator!G186=TRUE,Validator!G436=TRUE,Validator!G686=TRUE,Validator!G936=TRUE,Validator!G1186=TRUE,Validator!G1436=TRUE),"Valid","Invalid")</f>
        <v>Valid</v>
      </c>
      <c r="C192" s="144"/>
      <c r="D192" s="478"/>
      <c r="E192" s="479"/>
      <c r="F192" s="580"/>
      <c r="G192" s="480"/>
      <c r="H192" s="580"/>
      <c r="I192" s="483"/>
      <c r="J192" s="146"/>
      <c r="K192" s="297"/>
      <c r="L192" s="541"/>
      <c r="M192" s="469"/>
      <c r="N192" s="262"/>
      <c r="O192" s="348" t="s">
        <v>280</v>
      </c>
      <c r="P192" s="349" t="s">
        <v>79</v>
      </c>
      <c r="Q192" s="476"/>
      <c r="R192" s="467"/>
      <c r="S192" s="467"/>
      <c r="T192" s="476"/>
      <c r="U192" s="490" t="str">
        <f>IF(ISERROR(VLOOKUP($T192, 'Reference data'!$J$2:$K$139, 2, FALSE)),"-",VLOOKUP($T192, 'Reference data'!$J$2:$K$139, 2, FALSE))</f>
        <v>-</v>
      </c>
      <c r="V192" s="147"/>
      <c r="W192" s="147"/>
      <c r="X192" s="471"/>
      <c r="Y192" s="472"/>
      <c r="Z192" s="144"/>
      <c r="AA192" s="508"/>
      <c r="AB192" s="163"/>
      <c r="AC192" s="148"/>
      <c r="AD192" s="480"/>
      <c r="AE192" s="348" t="s">
        <v>280</v>
      </c>
      <c r="AF192" s="354" t="s">
        <v>79</v>
      </c>
      <c r="AG192" s="484"/>
    </row>
    <row r="193" spans="2:33" s="434" customFormat="1">
      <c r="B193" s="493" t="str">
        <f>IF(AND(Validator!G187=TRUE,Validator!G437=TRUE,Validator!G687=TRUE,Validator!G937=TRUE,Validator!G1187=TRUE,Validator!G1437=TRUE),"Valid","Invalid")</f>
        <v>Valid</v>
      </c>
      <c r="C193" s="144"/>
      <c r="D193" s="478"/>
      <c r="E193" s="479"/>
      <c r="F193" s="580"/>
      <c r="G193" s="480"/>
      <c r="H193" s="580"/>
      <c r="I193" s="483"/>
      <c r="J193" s="146"/>
      <c r="K193" s="297"/>
      <c r="L193" s="541"/>
      <c r="M193" s="469"/>
      <c r="N193" s="262"/>
      <c r="O193" s="348" t="s">
        <v>280</v>
      </c>
      <c r="P193" s="349" t="s">
        <v>79</v>
      </c>
      <c r="Q193" s="476"/>
      <c r="R193" s="467"/>
      <c r="S193" s="467"/>
      <c r="T193" s="476"/>
      <c r="U193" s="490" t="str">
        <f>IF(ISERROR(VLOOKUP($T193, 'Reference data'!$J$2:$K$139, 2, FALSE)),"-",VLOOKUP($T193, 'Reference data'!$J$2:$K$139, 2, FALSE))</f>
        <v>-</v>
      </c>
      <c r="V193" s="147"/>
      <c r="W193" s="147"/>
      <c r="X193" s="471"/>
      <c r="Y193" s="472"/>
      <c r="Z193" s="144"/>
      <c r="AA193" s="508"/>
      <c r="AB193" s="163"/>
      <c r="AC193" s="148"/>
      <c r="AD193" s="480"/>
      <c r="AE193" s="348" t="s">
        <v>280</v>
      </c>
      <c r="AF193" s="354" t="s">
        <v>79</v>
      </c>
      <c r="AG193" s="484"/>
    </row>
    <row r="194" spans="2:33" s="434" customFormat="1">
      <c r="B194" s="493" t="str">
        <f>IF(AND(Validator!G188=TRUE,Validator!G438=TRUE,Validator!G688=TRUE,Validator!G938=TRUE,Validator!G1188=TRUE,Validator!G1438=TRUE),"Valid","Invalid")</f>
        <v>Valid</v>
      </c>
      <c r="C194" s="144"/>
      <c r="D194" s="478"/>
      <c r="E194" s="479"/>
      <c r="F194" s="580"/>
      <c r="G194" s="480"/>
      <c r="H194" s="580"/>
      <c r="I194" s="483"/>
      <c r="J194" s="146"/>
      <c r="K194" s="297"/>
      <c r="L194" s="541"/>
      <c r="M194" s="469"/>
      <c r="N194" s="262"/>
      <c r="O194" s="348" t="s">
        <v>280</v>
      </c>
      <c r="P194" s="349" t="s">
        <v>79</v>
      </c>
      <c r="Q194" s="476"/>
      <c r="R194" s="467"/>
      <c r="S194" s="467"/>
      <c r="T194" s="476"/>
      <c r="U194" s="490" t="str">
        <f>IF(ISERROR(VLOOKUP($T194, 'Reference data'!$J$2:$K$139, 2, FALSE)),"-",VLOOKUP($T194, 'Reference data'!$J$2:$K$139, 2, FALSE))</f>
        <v>-</v>
      </c>
      <c r="V194" s="147"/>
      <c r="W194" s="147"/>
      <c r="X194" s="471"/>
      <c r="Y194" s="472"/>
      <c r="Z194" s="144"/>
      <c r="AA194" s="508"/>
      <c r="AB194" s="163"/>
      <c r="AC194" s="148"/>
      <c r="AD194" s="480"/>
      <c r="AE194" s="348" t="s">
        <v>280</v>
      </c>
      <c r="AF194" s="354" t="s">
        <v>79</v>
      </c>
      <c r="AG194" s="484"/>
    </row>
    <row r="195" spans="2:33" s="434" customFormat="1">
      <c r="B195" s="493" t="str">
        <f>IF(AND(Validator!G189=TRUE,Validator!G439=TRUE,Validator!G689=TRUE,Validator!G939=TRUE,Validator!G1189=TRUE,Validator!G1439=TRUE),"Valid","Invalid")</f>
        <v>Valid</v>
      </c>
      <c r="C195" s="144"/>
      <c r="D195" s="478"/>
      <c r="E195" s="479"/>
      <c r="F195" s="580"/>
      <c r="G195" s="480"/>
      <c r="H195" s="580"/>
      <c r="I195" s="483"/>
      <c r="J195" s="146"/>
      <c r="K195" s="297"/>
      <c r="L195" s="541"/>
      <c r="M195" s="469"/>
      <c r="N195" s="262"/>
      <c r="O195" s="348" t="s">
        <v>280</v>
      </c>
      <c r="P195" s="349" t="s">
        <v>79</v>
      </c>
      <c r="Q195" s="476"/>
      <c r="R195" s="467"/>
      <c r="S195" s="467"/>
      <c r="T195" s="476"/>
      <c r="U195" s="490" t="str">
        <f>IF(ISERROR(VLOOKUP($T195, 'Reference data'!$J$2:$K$139, 2, FALSE)),"-",VLOOKUP($T195, 'Reference data'!$J$2:$K$139, 2, FALSE))</f>
        <v>-</v>
      </c>
      <c r="V195" s="147"/>
      <c r="W195" s="147"/>
      <c r="X195" s="471"/>
      <c r="Y195" s="472"/>
      <c r="Z195" s="144"/>
      <c r="AA195" s="508"/>
      <c r="AB195" s="163"/>
      <c r="AC195" s="148"/>
      <c r="AD195" s="480"/>
      <c r="AE195" s="348" t="s">
        <v>280</v>
      </c>
      <c r="AF195" s="354" t="s">
        <v>79</v>
      </c>
      <c r="AG195" s="484"/>
    </row>
    <row r="196" spans="2:33" s="434" customFormat="1">
      <c r="B196" s="493" t="str">
        <f>IF(AND(Validator!G190=TRUE,Validator!G440=TRUE,Validator!G690=TRUE,Validator!G940=TRUE,Validator!G1190=TRUE,Validator!G1440=TRUE),"Valid","Invalid")</f>
        <v>Valid</v>
      </c>
      <c r="C196" s="144"/>
      <c r="D196" s="478"/>
      <c r="E196" s="479"/>
      <c r="F196" s="580"/>
      <c r="G196" s="480"/>
      <c r="H196" s="580"/>
      <c r="I196" s="483"/>
      <c r="J196" s="146"/>
      <c r="K196" s="297"/>
      <c r="L196" s="541"/>
      <c r="M196" s="469"/>
      <c r="N196" s="262"/>
      <c r="O196" s="348" t="s">
        <v>280</v>
      </c>
      <c r="P196" s="349" t="s">
        <v>79</v>
      </c>
      <c r="Q196" s="476"/>
      <c r="R196" s="467"/>
      <c r="S196" s="467"/>
      <c r="T196" s="476"/>
      <c r="U196" s="490" t="str">
        <f>IF(ISERROR(VLOOKUP($T196, 'Reference data'!$J$2:$K$139, 2, FALSE)),"-",VLOOKUP($T196, 'Reference data'!$J$2:$K$139, 2, FALSE))</f>
        <v>-</v>
      </c>
      <c r="V196" s="147"/>
      <c r="W196" s="147"/>
      <c r="X196" s="471"/>
      <c r="Y196" s="472"/>
      <c r="Z196" s="144"/>
      <c r="AA196" s="508"/>
      <c r="AB196" s="163"/>
      <c r="AC196" s="148"/>
      <c r="AD196" s="480"/>
      <c r="AE196" s="348" t="s">
        <v>280</v>
      </c>
      <c r="AF196" s="354" t="s">
        <v>79</v>
      </c>
      <c r="AG196" s="484"/>
    </row>
    <row r="197" spans="2:33" s="434" customFormat="1">
      <c r="B197" s="493" t="str">
        <f>IF(AND(Validator!G191=TRUE,Validator!G441=TRUE,Validator!G691=TRUE,Validator!G941=TRUE,Validator!G1191=TRUE,Validator!G1441=TRUE),"Valid","Invalid")</f>
        <v>Valid</v>
      </c>
      <c r="C197" s="144"/>
      <c r="D197" s="478"/>
      <c r="E197" s="479"/>
      <c r="F197" s="580"/>
      <c r="G197" s="480"/>
      <c r="H197" s="580"/>
      <c r="I197" s="483"/>
      <c r="J197" s="146"/>
      <c r="K197" s="297"/>
      <c r="L197" s="541"/>
      <c r="M197" s="469"/>
      <c r="N197" s="262"/>
      <c r="O197" s="348" t="s">
        <v>280</v>
      </c>
      <c r="P197" s="349" t="s">
        <v>79</v>
      </c>
      <c r="Q197" s="476"/>
      <c r="R197" s="467"/>
      <c r="S197" s="467"/>
      <c r="T197" s="476"/>
      <c r="U197" s="490" t="str">
        <f>IF(ISERROR(VLOOKUP($T197, 'Reference data'!$J$2:$K$139, 2, FALSE)),"-",VLOOKUP($T197, 'Reference data'!$J$2:$K$139, 2, FALSE))</f>
        <v>-</v>
      </c>
      <c r="V197" s="147"/>
      <c r="W197" s="147"/>
      <c r="X197" s="471"/>
      <c r="Y197" s="472"/>
      <c r="Z197" s="144"/>
      <c r="AA197" s="508"/>
      <c r="AB197" s="163"/>
      <c r="AC197" s="148"/>
      <c r="AD197" s="480"/>
      <c r="AE197" s="348" t="s">
        <v>280</v>
      </c>
      <c r="AF197" s="354" t="s">
        <v>79</v>
      </c>
      <c r="AG197" s="484"/>
    </row>
    <row r="198" spans="2:33" s="434" customFormat="1">
      <c r="B198" s="493" t="str">
        <f>IF(AND(Validator!G192=TRUE,Validator!G442=TRUE,Validator!G692=TRUE,Validator!G942=TRUE,Validator!G1192=TRUE,Validator!G1442=TRUE),"Valid","Invalid")</f>
        <v>Valid</v>
      </c>
      <c r="C198" s="144"/>
      <c r="D198" s="478"/>
      <c r="E198" s="479"/>
      <c r="F198" s="580"/>
      <c r="G198" s="480"/>
      <c r="H198" s="580"/>
      <c r="I198" s="483"/>
      <c r="J198" s="146"/>
      <c r="K198" s="297"/>
      <c r="L198" s="541"/>
      <c r="M198" s="469"/>
      <c r="N198" s="262"/>
      <c r="O198" s="348" t="s">
        <v>280</v>
      </c>
      <c r="P198" s="349" t="s">
        <v>79</v>
      </c>
      <c r="Q198" s="476"/>
      <c r="R198" s="467"/>
      <c r="S198" s="467"/>
      <c r="T198" s="476"/>
      <c r="U198" s="490" t="str">
        <f>IF(ISERROR(VLOOKUP($T198, 'Reference data'!$J$2:$K$139, 2, FALSE)),"-",VLOOKUP($T198, 'Reference data'!$J$2:$K$139, 2, FALSE))</f>
        <v>-</v>
      </c>
      <c r="V198" s="147"/>
      <c r="W198" s="147"/>
      <c r="X198" s="471"/>
      <c r="Y198" s="472"/>
      <c r="Z198" s="144"/>
      <c r="AA198" s="508"/>
      <c r="AB198" s="163"/>
      <c r="AC198" s="148"/>
      <c r="AD198" s="480"/>
      <c r="AE198" s="348" t="s">
        <v>280</v>
      </c>
      <c r="AF198" s="354" t="s">
        <v>79</v>
      </c>
      <c r="AG198" s="484"/>
    </row>
    <row r="199" spans="2:33" s="434" customFormat="1">
      <c r="B199" s="493" t="str">
        <f>IF(AND(Validator!G193=TRUE,Validator!G443=TRUE,Validator!G693=TRUE,Validator!G943=TRUE,Validator!G1193=TRUE,Validator!G1443=TRUE),"Valid","Invalid")</f>
        <v>Valid</v>
      </c>
      <c r="C199" s="144"/>
      <c r="D199" s="478"/>
      <c r="E199" s="479"/>
      <c r="F199" s="580"/>
      <c r="G199" s="480"/>
      <c r="H199" s="580"/>
      <c r="I199" s="483"/>
      <c r="J199" s="146"/>
      <c r="K199" s="297"/>
      <c r="L199" s="541"/>
      <c r="M199" s="469"/>
      <c r="N199" s="262"/>
      <c r="O199" s="348" t="s">
        <v>280</v>
      </c>
      <c r="P199" s="349" t="s">
        <v>79</v>
      </c>
      <c r="Q199" s="476"/>
      <c r="R199" s="467"/>
      <c r="S199" s="467"/>
      <c r="T199" s="476"/>
      <c r="U199" s="490" t="str">
        <f>IF(ISERROR(VLOOKUP($T199, 'Reference data'!$J$2:$K$139, 2, FALSE)),"-",VLOOKUP($T199, 'Reference data'!$J$2:$K$139, 2, FALSE))</f>
        <v>-</v>
      </c>
      <c r="V199" s="147"/>
      <c r="W199" s="147"/>
      <c r="X199" s="471"/>
      <c r="Y199" s="472"/>
      <c r="Z199" s="144"/>
      <c r="AA199" s="508"/>
      <c r="AB199" s="163"/>
      <c r="AC199" s="148"/>
      <c r="AD199" s="480"/>
      <c r="AE199" s="348" t="s">
        <v>280</v>
      </c>
      <c r="AF199" s="354" t="s">
        <v>79</v>
      </c>
      <c r="AG199" s="484"/>
    </row>
    <row r="200" spans="2:33" s="434" customFormat="1">
      <c r="B200" s="493" t="str">
        <f>IF(AND(Validator!G194=TRUE,Validator!G444=TRUE,Validator!G694=TRUE,Validator!G944=TRUE,Validator!G1194=TRUE,Validator!G1444=TRUE),"Valid","Invalid")</f>
        <v>Valid</v>
      </c>
      <c r="C200" s="144"/>
      <c r="D200" s="478"/>
      <c r="E200" s="479"/>
      <c r="F200" s="580"/>
      <c r="G200" s="480"/>
      <c r="H200" s="580"/>
      <c r="I200" s="483"/>
      <c r="J200" s="146"/>
      <c r="K200" s="297"/>
      <c r="L200" s="541"/>
      <c r="M200" s="469"/>
      <c r="N200" s="262"/>
      <c r="O200" s="348" t="s">
        <v>280</v>
      </c>
      <c r="P200" s="349" t="s">
        <v>79</v>
      </c>
      <c r="Q200" s="476"/>
      <c r="R200" s="467"/>
      <c r="S200" s="467"/>
      <c r="T200" s="476"/>
      <c r="U200" s="490" t="str">
        <f>IF(ISERROR(VLOOKUP($T200, 'Reference data'!$J$2:$K$139, 2, FALSE)),"-",VLOOKUP($T200, 'Reference data'!$J$2:$K$139, 2, FALSE))</f>
        <v>-</v>
      </c>
      <c r="V200" s="147"/>
      <c r="W200" s="147"/>
      <c r="X200" s="471"/>
      <c r="Y200" s="472"/>
      <c r="Z200" s="144"/>
      <c r="AA200" s="508"/>
      <c r="AB200" s="163"/>
      <c r="AC200" s="148"/>
      <c r="AD200" s="480"/>
      <c r="AE200" s="348" t="s">
        <v>280</v>
      </c>
      <c r="AF200" s="354" t="s">
        <v>79</v>
      </c>
      <c r="AG200" s="484"/>
    </row>
    <row r="201" spans="2:33" s="434" customFormat="1">
      <c r="B201" s="493" t="str">
        <f>IF(AND(Validator!G195=TRUE,Validator!G445=TRUE,Validator!G695=TRUE,Validator!G945=TRUE,Validator!G1195=TRUE,Validator!G1445=TRUE),"Valid","Invalid")</f>
        <v>Valid</v>
      </c>
      <c r="C201" s="144"/>
      <c r="D201" s="478"/>
      <c r="E201" s="479"/>
      <c r="F201" s="580"/>
      <c r="G201" s="480"/>
      <c r="H201" s="580"/>
      <c r="I201" s="483"/>
      <c r="J201" s="146"/>
      <c r="K201" s="297"/>
      <c r="L201" s="541"/>
      <c r="M201" s="469"/>
      <c r="N201" s="262"/>
      <c r="O201" s="348" t="s">
        <v>280</v>
      </c>
      <c r="P201" s="349" t="s">
        <v>79</v>
      </c>
      <c r="Q201" s="476"/>
      <c r="R201" s="467"/>
      <c r="S201" s="467"/>
      <c r="T201" s="476"/>
      <c r="U201" s="490" t="str">
        <f>IF(ISERROR(VLOOKUP($T201, 'Reference data'!$J$2:$K$139, 2, FALSE)),"-",VLOOKUP($T201, 'Reference data'!$J$2:$K$139, 2, FALSE))</f>
        <v>-</v>
      </c>
      <c r="V201" s="147"/>
      <c r="W201" s="147"/>
      <c r="X201" s="471"/>
      <c r="Y201" s="472"/>
      <c r="Z201" s="144"/>
      <c r="AA201" s="508"/>
      <c r="AB201" s="163"/>
      <c r="AC201" s="148"/>
      <c r="AD201" s="480"/>
      <c r="AE201" s="348" t="s">
        <v>280</v>
      </c>
      <c r="AF201" s="354" t="s">
        <v>79</v>
      </c>
      <c r="AG201" s="484"/>
    </row>
    <row r="202" spans="2:33" s="434" customFormat="1">
      <c r="B202" s="493" t="str">
        <f>IF(AND(Validator!G196=TRUE,Validator!G446=TRUE,Validator!G696=TRUE,Validator!G946=TRUE,Validator!G1196=TRUE,Validator!G1446=TRUE),"Valid","Invalid")</f>
        <v>Valid</v>
      </c>
      <c r="C202" s="144"/>
      <c r="D202" s="478"/>
      <c r="E202" s="479"/>
      <c r="F202" s="580"/>
      <c r="G202" s="480"/>
      <c r="H202" s="580"/>
      <c r="I202" s="483"/>
      <c r="J202" s="146"/>
      <c r="K202" s="297"/>
      <c r="L202" s="541"/>
      <c r="M202" s="469"/>
      <c r="N202" s="262"/>
      <c r="O202" s="348" t="s">
        <v>280</v>
      </c>
      <c r="P202" s="349" t="s">
        <v>79</v>
      </c>
      <c r="Q202" s="476"/>
      <c r="R202" s="467"/>
      <c r="S202" s="467"/>
      <c r="T202" s="476"/>
      <c r="U202" s="490" t="str">
        <f>IF(ISERROR(VLOOKUP($T202, 'Reference data'!$J$2:$K$139, 2, FALSE)),"-",VLOOKUP($T202, 'Reference data'!$J$2:$K$139, 2, FALSE))</f>
        <v>-</v>
      </c>
      <c r="V202" s="147"/>
      <c r="W202" s="147"/>
      <c r="X202" s="471"/>
      <c r="Y202" s="472"/>
      <c r="Z202" s="144"/>
      <c r="AA202" s="508"/>
      <c r="AB202" s="163"/>
      <c r="AC202" s="148"/>
      <c r="AD202" s="480"/>
      <c r="AE202" s="348" t="s">
        <v>280</v>
      </c>
      <c r="AF202" s="354" t="s">
        <v>79</v>
      </c>
      <c r="AG202" s="484"/>
    </row>
    <row r="203" spans="2:33" s="434" customFormat="1">
      <c r="B203" s="493" t="str">
        <f>IF(AND(Validator!G197=TRUE,Validator!G447=TRUE,Validator!G697=TRUE,Validator!G947=TRUE,Validator!G1197=TRUE,Validator!G1447=TRUE),"Valid","Invalid")</f>
        <v>Valid</v>
      </c>
      <c r="C203" s="144"/>
      <c r="D203" s="478"/>
      <c r="E203" s="479"/>
      <c r="F203" s="580"/>
      <c r="G203" s="480"/>
      <c r="H203" s="580"/>
      <c r="I203" s="483"/>
      <c r="J203" s="146"/>
      <c r="K203" s="297"/>
      <c r="L203" s="541"/>
      <c r="M203" s="469"/>
      <c r="N203" s="262"/>
      <c r="O203" s="348" t="s">
        <v>280</v>
      </c>
      <c r="P203" s="349" t="s">
        <v>79</v>
      </c>
      <c r="Q203" s="476"/>
      <c r="R203" s="467"/>
      <c r="S203" s="467"/>
      <c r="T203" s="476"/>
      <c r="U203" s="490" t="str">
        <f>IF(ISERROR(VLOOKUP($T203, 'Reference data'!$J$2:$K$139, 2, FALSE)),"-",VLOOKUP($T203, 'Reference data'!$J$2:$K$139, 2, FALSE))</f>
        <v>-</v>
      </c>
      <c r="V203" s="147"/>
      <c r="W203" s="147"/>
      <c r="X203" s="471"/>
      <c r="Y203" s="472"/>
      <c r="Z203" s="144"/>
      <c r="AA203" s="508"/>
      <c r="AB203" s="163"/>
      <c r="AC203" s="148"/>
      <c r="AD203" s="480"/>
      <c r="AE203" s="348" t="s">
        <v>280</v>
      </c>
      <c r="AF203" s="354" t="s">
        <v>79</v>
      </c>
      <c r="AG203" s="484"/>
    </row>
    <row r="204" spans="2:33" s="434" customFormat="1">
      <c r="B204" s="493" t="str">
        <f>IF(AND(Validator!G198=TRUE,Validator!G448=TRUE,Validator!G698=TRUE,Validator!G948=TRUE,Validator!G1198=TRUE,Validator!G1448=TRUE),"Valid","Invalid")</f>
        <v>Valid</v>
      </c>
      <c r="C204" s="144"/>
      <c r="D204" s="478"/>
      <c r="E204" s="479"/>
      <c r="F204" s="580"/>
      <c r="G204" s="480"/>
      <c r="H204" s="580"/>
      <c r="I204" s="483"/>
      <c r="J204" s="146"/>
      <c r="K204" s="297"/>
      <c r="L204" s="541"/>
      <c r="M204" s="469"/>
      <c r="N204" s="262"/>
      <c r="O204" s="348" t="s">
        <v>280</v>
      </c>
      <c r="P204" s="349" t="s">
        <v>79</v>
      </c>
      <c r="Q204" s="476"/>
      <c r="R204" s="467"/>
      <c r="S204" s="467"/>
      <c r="T204" s="476"/>
      <c r="U204" s="490" t="str">
        <f>IF(ISERROR(VLOOKUP($T204, 'Reference data'!$J$2:$K$139, 2, FALSE)),"-",VLOOKUP($T204, 'Reference data'!$J$2:$K$139, 2, FALSE))</f>
        <v>-</v>
      </c>
      <c r="V204" s="147"/>
      <c r="W204" s="147"/>
      <c r="X204" s="471"/>
      <c r="Y204" s="472"/>
      <c r="Z204" s="144"/>
      <c r="AA204" s="508"/>
      <c r="AB204" s="163"/>
      <c r="AC204" s="148"/>
      <c r="AD204" s="480"/>
      <c r="AE204" s="348" t="s">
        <v>280</v>
      </c>
      <c r="AF204" s="354" t="s">
        <v>79</v>
      </c>
      <c r="AG204" s="484"/>
    </row>
    <row r="205" spans="2:33" s="434" customFormat="1">
      <c r="B205" s="493" t="str">
        <f>IF(AND(Validator!G199=TRUE,Validator!G449=TRUE,Validator!G699=TRUE,Validator!G949=TRUE,Validator!G1199=TRUE,Validator!G1449=TRUE),"Valid","Invalid")</f>
        <v>Valid</v>
      </c>
      <c r="C205" s="144"/>
      <c r="D205" s="478"/>
      <c r="E205" s="479"/>
      <c r="F205" s="580"/>
      <c r="G205" s="480"/>
      <c r="H205" s="580"/>
      <c r="I205" s="483"/>
      <c r="J205" s="146"/>
      <c r="K205" s="297"/>
      <c r="L205" s="541"/>
      <c r="M205" s="469"/>
      <c r="N205" s="262"/>
      <c r="O205" s="348" t="s">
        <v>280</v>
      </c>
      <c r="P205" s="349" t="s">
        <v>79</v>
      </c>
      <c r="Q205" s="476"/>
      <c r="R205" s="467"/>
      <c r="S205" s="467"/>
      <c r="T205" s="476"/>
      <c r="U205" s="490" t="str">
        <f>IF(ISERROR(VLOOKUP($T205, 'Reference data'!$J$2:$K$139, 2, FALSE)),"-",VLOOKUP($T205, 'Reference data'!$J$2:$K$139, 2, FALSE))</f>
        <v>-</v>
      </c>
      <c r="V205" s="147"/>
      <c r="W205" s="147"/>
      <c r="X205" s="471"/>
      <c r="Y205" s="472"/>
      <c r="Z205" s="144"/>
      <c r="AA205" s="508"/>
      <c r="AB205" s="163"/>
      <c r="AC205" s="148"/>
      <c r="AD205" s="480"/>
      <c r="AE205" s="348" t="s">
        <v>280</v>
      </c>
      <c r="AF205" s="354" t="s">
        <v>79</v>
      </c>
      <c r="AG205" s="484"/>
    </row>
    <row r="206" spans="2:33" s="434" customFormat="1">
      <c r="B206" s="493" t="str">
        <f>IF(AND(Validator!G200=TRUE,Validator!G450=TRUE,Validator!G700=TRUE,Validator!G950=TRUE,Validator!G1200=TRUE,Validator!G1450=TRUE),"Valid","Invalid")</f>
        <v>Valid</v>
      </c>
      <c r="C206" s="144"/>
      <c r="D206" s="478"/>
      <c r="E206" s="479"/>
      <c r="F206" s="580"/>
      <c r="G206" s="480"/>
      <c r="H206" s="580"/>
      <c r="I206" s="483"/>
      <c r="J206" s="146"/>
      <c r="K206" s="297"/>
      <c r="L206" s="541"/>
      <c r="M206" s="469"/>
      <c r="N206" s="262"/>
      <c r="O206" s="348" t="s">
        <v>280</v>
      </c>
      <c r="P206" s="349" t="s">
        <v>79</v>
      </c>
      <c r="Q206" s="476"/>
      <c r="R206" s="467"/>
      <c r="S206" s="467"/>
      <c r="T206" s="476"/>
      <c r="U206" s="490" t="str">
        <f>IF(ISERROR(VLOOKUP($T206, 'Reference data'!$J$2:$K$139, 2, FALSE)),"-",VLOOKUP($T206, 'Reference data'!$J$2:$K$139, 2, FALSE))</f>
        <v>-</v>
      </c>
      <c r="V206" s="147"/>
      <c r="W206" s="147"/>
      <c r="X206" s="471"/>
      <c r="Y206" s="472"/>
      <c r="Z206" s="144"/>
      <c r="AA206" s="508"/>
      <c r="AB206" s="163"/>
      <c r="AC206" s="148"/>
      <c r="AD206" s="480"/>
      <c r="AE206" s="348" t="s">
        <v>280</v>
      </c>
      <c r="AF206" s="354" t="s">
        <v>79</v>
      </c>
      <c r="AG206" s="484"/>
    </row>
    <row r="207" spans="2:33" s="434" customFormat="1">
      <c r="B207" s="493" t="str">
        <f>IF(AND(Validator!G201=TRUE,Validator!G451=TRUE,Validator!G701=TRUE,Validator!G951=TRUE,Validator!G1201=TRUE,Validator!G1451=TRUE),"Valid","Invalid")</f>
        <v>Valid</v>
      </c>
      <c r="C207" s="144"/>
      <c r="D207" s="478"/>
      <c r="E207" s="479"/>
      <c r="F207" s="580"/>
      <c r="G207" s="480"/>
      <c r="H207" s="580"/>
      <c r="I207" s="483"/>
      <c r="J207" s="146"/>
      <c r="K207" s="297"/>
      <c r="L207" s="541"/>
      <c r="M207" s="469"/>
      <c r="N207" s="262"/>
      <c r="O207" s="348" t="s">
        <v>280</v>
      </c>
      <c r="P207" s="349" t="s">
        <v>79</v>
      </c>
      <c r="Q207" s="476"/>
      <c r="R207" s="467"/>
      <c r="S207" s="467"/>
      <c r="T207" s="476"/>
      <c r="U207" s="490" t="str">
        <f>IF(ISERROR(VLOOKUP($T207, 'Reference data'!$J$2:$K$139, 2, FALSE)),"-",VLOOKUP($T207, 'Reference data'!$J$2:$K$139, 2, FALSE))</f>
        <v>-</v>
      </c>
      <c r="V207" s="147"/>
      <c r="W207" s="147"/>
      <c r="X207" s="471"/>
      <c r="Y207" s="472"/>
      <c r="Z207" s="144"/>
      <c r="AA207" s="508"/>
      <c r="AB207" s="163"/>
      <c r="AC207" s="148"/>
      <c r="AD207" s="480"/>
      <c r="AE207" s="348" t="s">
        <v>280</v>
      </c>
      <c r="AF207" s="354" t="s">
        <v>79</v>
      </c>
      <c r="AG207" s="484"/>
    </row>
    <row r="208" spans="2:33" s="434" customFormat="1">
      <c r="B208" s="493" t="str">
        <f>IF(AND(Validator!G202=TRUE,Validator!G452=TRUE,Validator!G702=TRUE,Validator!G952=TRUE,Validator!G1202=TRUE,Validator!G1452=TRUE),"Valid","Invalid")</f>
        <v>Valid</v>
      </c>
      <c r="C208" s="144"/>
      <c r="D208" s="478"/>
      <c r="E208" s="479"/>
      <c r="F208" s="580"/>
      <c r="G208" s="480"/>
      <c r="H208" s="580"/>
      <c r="I208" s="483"/>
      <c r="J208" s="146"/>
      <c r="K208" s="297"/>
      <c r="L208" s="541"/>
      <c r="M208" s="469"/>
      <c r="N208" s="262"/>
      <c r="O208" s="348" t="s">
        <v>280</v>
      </c>
      <c r="P208" s="349" t="s">
        <v>79</v>
      </c>
      <c r="Q208" s="476"/>
      <c r="R208" s="467"/>
      <c r="S208" s="467"/>
      <c r="T208" s="476"/>
      <c r="U208" s="490" t="str">
        <f>IF(ISERROR(VLOOKUP($T208, 'Reference data'!$J$2:$K$139, 2, FALSE)),"-",VLOOKUP($T208, 'Reference data'!$J$2:$K$139, 2, FALSE))</f>
        <v>-</v>
      </c>
      <c r="V208" s="147"/>
      <c r="W208" s="147"/>
      <c r="X208" s="471"/>
      <c r="Y208" s="472"/>
      <c r="Z208" s="144"/>
      <c r="AA208" s="508"/>
      <c r="AB208" s="163"/>
      <c r="AC208" s="148"/>
      <c r="AD208" s="480"/>
      <c r="AE208" s="348" t="s">
        <v>280</v>
      </c>
      <c r="AF208" s="354" t="s">
        <v>79</v>
      </c>
      <c r="AG208" s="484"/>
    </row>
    <row r="209" spans="2:33" s="434" customFormat="1">
      <c r="B209" s="493" t="str">
        <f>IF(AND(Validator!G203=TRUE,Validator!G453=TRUE,Validator!G703=TRUE,Validator!G953=TRUE,Validator!G1203=TRUE,Validator!G1453=TRUE),"Valid","Invalid")</f>
        <v>Valid</v>
      </c>
      <c r="C209" s="144"/>
      <c r="D209" s="478"/>
      <c r="E209" s="479"/>
      <c r="F209" s="580"/>
      <c r="G209" s="480"/>
      <c r="H209" s="580"/>
      <c r="I209" s="483"/>
      <c r="J209" s="146"/>
      <c r="K209" s="297"/>
      <c r="L209" s="541"/>
      <c r="M209" s="469"/>
      <c r="N209" s="262"/>
      <c r="O209" s="348" t="s">
        <v>280</v>
      </c>
      <c r="P209" s="349" t="s">
        <v>79</v>
      </c>
      <c r="Q209" s="476"/>
      <c r="R209" s="467"/>
      <c r="S209" s="467"/>
      <c r="T209" s="476"/>
      <c r="U209" s="490" t="str">
        <f>IF(ISERROR(VLOOKUP($T209, 'Reference data'!$J$2:$K$139, 2, FALSE)),"-",VLOOKUP($T209, 'Reference data'!$J$2:$K$139, 2, FALSE))</f>
        <v>-</v>
      </c>
      <c r="V209" s="147"/>
      <c r="W209" s="147"/>
      <c r="X209" s="471"/>
      <c r="Y209" s="472"/>
      <c r="Z209" s="144"/>
      <c r="AA209" s="508"/>
      <c r="AB209" s="163"/>
      <c r="AC209" s="148"/>
      <c r="AD209" s="480"/>
      <c r="AE209" s="348" t="s">
        <v>280</v>
      </c>
      <c r="AF209" s="354" t="s">
        <v>79</v>
      </c>
      <c r="AG209" s="484"/>
    </row>
    <row r="210" spans="2:33" s="434" customFormat="1">
      <c r="B210" s="493" t="str">
        <f>IF(AND(Validator!G204=TRUE,Validator!G454=TRUE,Validator!G704=TRUE,Validator!G954=TRUE,Validator!G1204=TRUE,Validator!G1454=TRUE),"Valid","Invalid")</f>
        <v>Valid</v>
      </c>
      <c r="C210" s="144"/>
      <c r="D210" s="478"/>
      <c r="E210" s="479"/>
      <c r="F210" s="580"/>
      <c r="G210" s="480"/>
      <c r="H210" s="580"/>
      <c r="I210" s="483"/>
      <c r="J210" s="146"/>
      <c r="K210" s="297"/>
      <c r="L210" s="541"/>
      <c r="M210" s="469"/>
      <c r="N210" s="262"/>
      <c r="O210" s="348" t="s">
        <v>280</v>
      </c>
      <c r="P210" s="349" t="s">
        <v>79</v>
      </c>
      <c r="Q210" s="476"/>
      <c r="R210" s="467"/>
      <c r="S210" s="467"/>
      <c r="T210" s="476"/>
      <c r="U210" s="490" t="str">
        <f>IF(ISERROR(VLOOKUP($T210, 'Reference data'!$J$2:$K$139, 2, FALSE)),"-",VLOOKUP($T210, 'Reference data'!$J$2:$K$139, 2, FALSE))</f>
        <v>-</v>
      </c>
      <c r="V210" s="147"/>
      <c r="W210" s="147"/>
      <c r="X210" s="471"/>
      <c r="Y210" s="472"/>
      <c r="Z210" s="144"/>
      <c r="AA210" s="508"/>
      <c r="AB210" s="163"/>
      <c r="AC210" s="148"/>
      <c r="AD210" s="480"/>
      <c r="AE210" s="348" t="s">
        <v>280</v>
      </c>
      <c r="AF210" s="354" t="s">
        <v>79</v>
      </c>
      <c r="AG210" s="484"/>
    </row>
    <row r="211" spans="2:33" s="434" customFormat="1">
      <c r="B211" s="493" t="str">
        <f>IF(AND(Validator!G205=TRUE,Validator!G455=TRUE,Validator!G705=TRUE,Validator!G955=TRUE,Validator!G1205=TRUE,Validator!G1455=TRUE),"Valid","Invalid")</f>
        <v>Valid</v>
      </c>
      <c r="C211" s="144"/>
      <c r="D211" s="478"/>
      <c r="E211" s="479"/>
      <c r="F211" s="580"/>
      <c r="G211" s="480"/>
      <c r="H211" s="580"/>
      <c r="I211" s="483"/>
      <c r="J211" s="146"/>
      <c r="K211" s="297"/>
      <c r="L211" s="541"/>
      <c r="M211" s="469"/>
      <c r="N211" s="262"/>
      <c r="O211" s="348" t="s">
        <v>280</v>
      </c>
      <c r="P211" s="349" t="s">
        <v>79</v>
      </c>
      <c r="Q211" s="476"/>
      <c r="R211" s="467"/>
      <c r="S211" s="467"/>
      <c r="T211" s="476"/>
      <c r="U211" s="490" t="str">
        <f>IF(ISERROR(VLOOKUP($T211, 'Reference data'!$J$2:$K$139, 2, FALSE)),"-",VLOOKUP($T211, 'Reference data'!$J$2:$K$139, 2, FALSE))</f>
        <v>-</v>
      </c>
      <c r="V211" s="147"/>
      <c r="W211" s="147"/>
      <c r="X211" s="471"/>
      <c r="Y211" s="472"/>
      <c r="Z211" s="144"/>
      <c r="AA211" s="508"/>
      <c r="AB211" s="163"/>
      <c r="AC211" s="148"/>
      <c r="AD211" s="480"/>
      <c r="AE211" s="348" t="s">
        <v>280</v>
      </c>
      <c r="AF211" s="354" t="s">
        <v>79</v>
      </c>
      <c r="AG211" s="484"/>
    </row>
    <row r="212" spans="2:33" s="434" customFormat="1">
      <c r="B212" s="493" t="str">
        <f>IF(AND(Validator!G206=TRUE,Validator!G456=TRUE,Validator!G706=TRUE,Validator!G956=TRUE,Validator!G1206=TRUE,Validator!G1456=TRUE),"Valid","Invalid")</f>
        <v>Valid</v>
      </c>
      <c r="C212" s="144"/>
      <c r="D212" s="478"/>
      <c r="E212" s="479"/>
      <c r="F212" s="580"/>
      <c r="G212" s="480"/>
      <c r="H212" s="580"/>
      <c r="I212" s="483"/>
      <c r="J212" s="146"/>
      <c r="K212" s="297"/>
      <c r="L212" s="541"/>
      <c r="M212" s="469"/>
      <c r="N212" s="262"/>
      <c r="O212" s="348" t="s">
        <v>280</v>
      </c>
      <c r="P212" s="349" t="s">
        <v>79</v>
      </c>
      <c r="Q212" s="476"/>
      <c r="R212" s="467"/>
      <c r="S212" s="467"/>
      <c r="T212" s="476"/>
      <c r="U212" s="490" t="str">
        <f>IF(ISERROR(VLOOKUP($T212, 'Reference data'!$J$2:$K$139, 2, FALSE)),"-",VLOOKUP($T212, 'Reference data'!$J$2:$K$139, 2, FALSE))</f>
        <v>-</v>
      </c>
      <c r="V212" s="147"/>
      <c r="W212" s="147"/>
      <c r="X212" s="471"/>
      <c r="Y212" s="472"/>
      <c r="Z212" s="144"/>
      <c r="AA212" s="508"/>
      <c r="AB212" s="163"/>
      <c r="AC212" s="148"/>
      <c r="AD212" s="480"/>
      <c r="AE212" s="348" t="s">
        <v>280</v>
      </c>
      <c r="AF212" s="354" t="s">
        <v>79</v>
      </c>
      <c r="AG212" s="484"/>
    </row>
    <row r="213" spans="2:33" s="434" customFormat="1">
      <c r="B213" s="493" t="str">
        <f>IF(AND(Validator!G207=TRUE,Validator!G457=TRUE,Validator!G707=TRUE,Validator!G957=TRUE,Validator!G1207=TRUE,Validator!G1457=TRUE),"Valid","Invalid")</f>
        <v>Valid</v>
      </c>
      <c r="C213" s="144"/>
      <c r="D213" s="478"/>
      <c r="E213" s="479"/>
      <c r="F213" s="580"/>
      <c r="G213" s="480"/>
      <c r="H213" s="580"/>
      <c r="I213" s="483"/>
      <c r="J213" s="146"/>
      <c r="K213" s="297"/>
      <c r="L213" s="541"/>
      <c r="M213" s="469"/>
      <c r="N213" s="262"/>
      <c r="O213" s="348" t="s">
        <v>280</v>
      </c>
      <c r="P213" s="349" t="s">
        <v>79</v>
      </c>
      <c r="Q213" s="476"/>
      <c r="R213" s="467"/>
      <c r="S213" s="467"/>
      <c r="T213" s="476"/>
      <c r="U213" s="490" t="str">
        <f>IF(ISERROR(VLOOKUP($T213, 'Reference data'!$J$2:$K$139, 2, FALSE)),"-",VLOOKUP($T213, 'Reference data'!$J$2:$K$139, 2, FALSE))</f>
        <v>-</v>
      </c>
      <c r="V213" s="147"/>
      <c r="W213" s="147"/>
      <c r="X213" s="471"/>
      <c r="Y213" s="472"/>
      <c r="Z213" s="144"/>
      <c r="AA213" s="508"/>
      <c r="AB213" s="163"/>
      <c r="AC213" s="148"/>
      <c r="AD213" s="480"/>
      <c r="AE213" s="348" t="s">
        <v>280</v>
      </c>
      <c r="AF213" s="354" t="s">
        <v>79</v>
      </c>
      <c r="AG213" s="484"/>
    </row>
    <row r="214" spans="2:33" s="434" customFormat="1">
      <c r="B214" s="493" t="str">
        <f>IF(AND(Validator!G208=TRUE,Validator!G458=TRUE,Validator!G708=TRUE,Validator!G958=TRUE,Validator!G1208=TRUE,Validator!G1458=TRUE),"Valid","Invalid")</f>
        <v>Valid</v>
      </c>
      <c r="C214" s="144"/>
      <c r="D214" s="478"/>
      <c r="E214" s="479"/>
      <c r="F214" s="580"/>
      <c r="G214" s="480"/>
      <c r="H214" s="580"/>
      <c r="I214" s="483"/>
      <c r="J214" s="146"/>
      <c r="K214" s="297"/>
      <c r="L214" s="541"/>
      <c r="M214" s="469"/>
      <c r="N214" s="262"/>
      <c r="O214" s="348" t="s">
        <v>280</v>
      </c>
      <c r="P214" s="349" t="s">
        <v>79</v>
      </c>
      <c r="Q214" s="476"/>
      <c r="R214" s="467"/>
      <c r="S214" s="467"/>
      <c r="T214" s="476"/>
      <c r="U214" s="490" t="str">
        <f>IF(ISERROR(VLOOKUP($T214, 'Reference data'!$J$2:$K$139, 2, FALSE)),"-",VLOOKUP($T214, 'Reference data'!$J$2:$K$139, 2, FALSE))</f>
        <v>-</v>
      </c>
      <c r="V214" s="147"/>
      <c r="W214" s="147"/>
      <c r="X214" s="471"/>
      <c r="Y214" s="472"/>
      <c r="Z214" s="144"/>
      <c r="AA214" s="508"/>
      <c r="AB214" s="163"/>
      <c r="AC214" s="148"/>
      <c r="AD214" s="480"/>
      <c r="AE214" s="348" t="s">
        <v>280</v>
      </c>
      <c r="AF214" s="354" t="s">
        <v>79</v>
      </c>
      <c r="AG214" s="484"/>
    </row>
    <row r="215" spans="2:33" s="434" customFormat="1">
      <c r="B215" s="493" t="str">
        <f>IF(AND(Validator!G209=TRUE,Validator!G459=TRUE,Validator!G709=TRUE,Validator!G959=TRUE,Validator!G1209=TRUE,Validator!G1459=TRUE),"Valid","Invalid")</f>
        <v>Valid</v>
      </c>
      <c r="C215" s="144"/>
      <c r="D215" s="478"/>
      <c r="E215" s="479"/>
      <c r="F215" s="580"/>
      <c r="G215" s="480"/>
      <c r="H215" s="580"/>
      <c r="I215" s="483"/>
      <c r="J215" s="146"/>
      <c r="K215" s="297"/>
      <c r="L215" s="541"/>
      <c r="M215" s="469"/>
      <c r="N215" s="262"/>
      <c r="O215" s="348" t="s">
        <v>280</v>
      </c>
      <c r="P215" s="349" t="s">
        <v>79</v>
      </c>
      <c r="Q215" s="476"/>
      <c r="R215" s="467"/>
      <c r="S215" s="467"/>
      <c r="T215" s="476"/>
      <c r="U215" s="490" t="str">
        <f>IF(ISERROR(VLOOKUP($T215, 'Reference data'!$J$2:$K$139, 2, FALSE)),"-",VLOOKUP($T215, 'Reference data'!$J$2:$K$139, 2, FALSE))</f>
        <v>-</v>
      </c>
      <c r="V215" s="147"/>
      <c r="W215" s="147"/>
      <c r="X215" s="471"/>
      <c r="Y215" s="472"/>
      <c r="Z215" s="144"/>
      <c r="AA215" s="508"/>
      <c r="AB215" s="163"/>
      <c r="AC215" s="148"/>
      <c r="AD215" s="480"/>
      <c r="AE215" s="348" t="s">
        <v>280</v>
      </c>
      <c r="AF215" s="354" t="s">
        <v>79</v>
      </c>
      <c r="AG215" s="484"/>
    </row>
    <row r="216" spans="2:33" s="434" customFormat="1">
      <c r="B216" s="493" t="str">
        <f>IF(AND(Validator!G210=TRUE,Validator!G460=TRUE,Validator!G710=TRUE,Validator!G960=TRUE,Validator!G1210=TRUE,Validator!G1460=TRUE),"Valid","Invalid")</f>
        <v>Valid</v>
      </c>
      <c r="C216" s="144"/>
      <c r="D216" s="478"/>
      <c r="E216" s="479"/>
      <c r="F216" s="580"/>
      <c r="G216" s="480"/>
      <c r="H216" s="580"/>
      <c r="I216" s="483"/>
      <c r="J216" s="146"/>
      <c r="K216" s="297"/>
      <c r="L216" s="541"/>
      <c r="M216" s="469"/>
      <c r="N216" s="262"/>
      <c r="O216" s="348" t="s">
        <v>280</v>
      </c>
      <c r="P216" s="349" t="s">
        <v>79</v>
      </c>
      <c r="Q216" s="476"/>
      <c r="R216" s="467"/>
      <c r="S216" s="467"/>
      <c r="T216" s="476"/>
      <c r="U216" s="490" t="str">
        <f>IF(ISERROR(VLOOKUP($T216, 'Reference data'!$J$2:$K$139, 2, FALSE)),"-",VLOOKUP($T216, 'Reference data'!$J$2:$K$139, 2, FALSE))</f>
        <v>-</v>
      </c>
      <c r="V216" s="147"/>
      <c r="W216" s="147"/>
      <c r="X216" s="471"/>
      <c r="Y216" s="472"/>
      <c r="Z216" s="144"/>
      <c r="AA216" s="508"/>
      <c r="AB216" s="163"/>
      <c r="AC216" s="148"/>
      <c r="AD216" s="480"/>
      <c r="AE216" s="348" t="s">
        <v>280</v>
      </c>
      <c r="AF216" s="354" t="s">
        <v>79</v>
      </c>
      <c r="AG216" s="484"/>
    </row>
    <row r="217" spans="2:33" s="434" customFormat="1">
      <c r="B217" s="493" t="str">
        <f>IF(AND(Validator!G211=TRUE,Validator!G461=TRUE,Validator!G711=TRUE,Validator!G961=TRUE,Validator!G1211=TRUE,Validator!G1461=TRUE),"Valid","Invalid")</f>
        <v>Valid</v>
      </c>
      <c r="C217" s="144"/>
      <c r="D217" s="478"/>
      <c r="E217" s="479"/>
      <c r="F217" s="580"/>
      <c r="G217" s="480"/>
      <c r="H217" s="580"/>
      <c r="I217" s="483"/>
      <c r="J217" s="146"/>
      <c r="K217" s="297"/>
      <c r="L217" s="541"/>
      <c r="M217" s="469"/>
      <c r="N217" s="262"/>
      <c r="O217" s="348" t="s">
        <v>280</v>
      </c>
      <c r="P217" s="349" t="s">
        <v>79</v>
      </c>
      <c r="Q217" s="476"/>
      <c r="R217" s="467"/>
      <c r="S217" s="467"/>
      <c r="T217" s="476"/>
      <c r="U217" s="490" t="str">
        <f>IF(ISERROR(VLOOKUP($T217, 'Reference data'!$J$2:$K$139, 2, FALSE)),"-",VLOOKUP($T217, 'Reference data'!$J$2:$K$139, 2, FALSE))</f>
        <v>-</v>
      </c>
      <c r="V217" s="147"/>
      <c r="W217" s="147"/>
      <c r="X217" s="471"/>
      <c r="Y217" s="472"/>
      <c r="Z217" s="144"/>
      <c r="AA217" s="508"/>
      <c r="AB217" s="163"/>
      <c r="AC217" s="148"/>
      <c r="AD217" s="480"/>
      <c r="AE217" s="348" t="s">
        <v>280</v>
      </c>
      <c r="AF217" s="354" t="s">
        <v>79</v>
      </c>
      <c r="AG217" s="484"/>
    </row>
    <row r="218" spans="2:33" s="434" customFormat="1">
      <c r="B218" s="493" t="str">
        <f>IF(AND(Validator!G212=TRUE,Validator!G462=TRUE,Validator!G712=TRUE,Validator!G962=TRUE,Validator!G1212=TRUE,Validator!G1462=TRUE),"Valid","Invalid")</f>
        <v>Valid</v>
      </c>
      <c r="C218" s="144"/>
      <c r="D218" s="478"/>
      <c r="E218" s="479"/>
      <c r="F218" s="580"/>
      <c r="G218" s="480"/>
      <c r="H218" s="580"/>
      <c r="I218" s="483"/>
      <c r="J218" s="146"/>
      <c r="K218" s="297"/>
      <c r="L218" s="541"/>
      <c r="M218" s="469"/>
      <c r="N218" s="262"/>
      <c r="O218" s="348" t="s">
        <v>280</v>
      </c>
      <c r="P218" s="349" t="s">
        <v>79</v>
      </c>
      <c r="Q218" s="476"/>
      <c r="R218" s="467"/>
      <c r="S218" s="467"/>
      <c r="T218" s="476"/>
      <c r="U218" s="490" t="str">
        <f>IF(ISERROR(VLOOKUP($T218, 'Reference data'!$J$2:$K$139, 2, FALSE)),"-",VLOOKUP($T218, 'Reference data'!$J$2:$K$139, 2, FALSE))</f>
        <v>-</v>
      </c>
      <c r="V218" s="147"/>
      <c r="W218" s="147"/>
      <c r="X218" s="471"/>
      <c r="Y218" s="472"/>
      <c r="Z218" s="144"/>
      <c r="AA218" s="508"/>
      <c r="AB218" s="163"/>
      <c r="AC218" s="148"/>
      <c r="AD218" s="480"/>
      <c r="AE218" s="348" t="s">
        <v>280</v>
      </c>
      <c r="AF218" s="354" t="s">
        <v>79</v>
      </c>
      <c r="AG218" s="484"/>
    </row>
    <row r="219" spans="2:33" s="434" customFormat="1">
      <c r="B219" s="493" t="str">
        <f>IF(AND(Validator!G213=TRUE,Validator!G463=TRUE,Validator!G713=TRUE,Validator!G963=TRUE,Validator!G1213=TRUE,Validator!G1463=TRUE),"Valid","Invalid")</f>
        <v>Valid</v>
      </c>
      <c r="C219" s="144"/>
      <c r="D219" s="478"/>
      <c r="E219" s="479"/>
      <c r="F219" s="580"/>
      <c r="G219" s="480"/>
      <c r="H219" s="580"/>
      <c r="I219" s="483"/>
      <c r="J219" s="146"/>
      <c r="K219" s="297"/>
      <c r="L219" s="541"/>
      <c r="M219" s="469"/>
      <c r="N219" s="262"/>
      <c r="O219" s="348" t="s">
        <v>280</v>
      </c>
      <c r="P219" s="349" t="s">
        <v>79</v>
      </c>
      <c r="Q219" s="476"/>
      <c r="R219" s="467"/>
      <c r="S219" s="467"/>
      <c r="T219" s="476"/>
      <c r="U219" s="490" t="str">
        <f>IF(ISERROR(VLOOKUP($T219, 'Reference data'!$J$2:$K$139, 2, FALSE)),"-",VLOOKUP($T219, 'Reference data'!$J$2:$K$139, 2, FALSE))</f>
        <v>-</v>
      </c>
      <c r="V219" s="147"/>
      <c r="W219" s="147"/>
      <c r="X219" s="471"/>
      <c r="Y219" s="472"/>
      <c r="Z219" s="144"/>
      <c r="AA219" s="508"/>
      <c r="AB219" s="163"/>
      <c r="AC219" s="148"/>
      <c r="AD219" s="480"/>
      <c r="AE219" s="348" t="s">
        <v>280</v>
      </c>
      <c r="AF219" s="354" t="s">
        <v>79</v>
      </c>
      <c r="AG219" s="484"/>
    </row>
    <row r="220" spans="2:33" s="434" customFormat="1">
      <c r="B220" s="493" t="str">
        <f>IF(AND(Validator!G214=TRUE,Validator!G464=TRUE,Validator!G714=TRUE,Validator!G964=TRUE,Validator!G1214=TRUE,Validator!G1464=TRUE),"Valid","Invalid")</f>
        <v>Valid</v>
      </c>
      <c r="C220" s="144"/>
      <c r="D220" s="478"/>
      <c r="E220" s="479"/>
      <c r="F220" s="580"/>
      <c r="G220" s="480"/>
      <c r="H220" s="580"/>
      <c r="I220" s="483"/>
      <c r="J220" s="146"/>
      <c r="K220" s="297"/>
      <c r="L220" s="541"/>
      <c r="M220" s="469"/>
      <c r="N220" s="262"/>
      <c r="O220" s="348" t="s">
        <v>280</v>
      </c>
      <c r="P220" s="349" t="s">
        <v>79</v>
      </c>
      <c r="Q220" s="476"/>
      <c r="R220" s="467"/>
      <c r="S220" s="467"/>
      <c r="T220" s="476"/>
      <c r="U220" s="490" t="str">
        <f>IF(ISERROR(VLOOKUP($T220, 'Reference data'!$J$2:$K$139, 2, FALSE)),"-",VLOOKUP($T220, 'Reference data'!$J$2:$K$139, 2, FALSE))</f>
        <v>-</v>
      </c>
      <c r="V220" s="147"/>
      <c r="W220" s="147"/>
      <c r="X220" s="471"/>
      <c r="Y220" s="472"/>
      <c r="Z220" s="144"/>
      <c r="AA220" s="508"/>
      <c r="AB220" s="163"/>
      <c r="AC220" s="148"/>
      <c r="AD220" s="480"/>
      <c r="AE220" s="348" t="s">
        <v>280</v>
      </c>
      <c r="AF220" s="354" t="s">
        <v>79</v>
      </c>
      <c r="AG220" s="484"/>
    </row>
    <row r="221" spans="2:33" s="434" customFormat="1">
      <c r="B221" s="493" t="str">
        <f>IF(AND(Validator!G215=TRUE,Validator!G465=TRUE,Validator!G715=TRUE,Validator!G965=TRUE,Validator!G1215=TRUE,Validator!G1465=TRUE),"Valid","Invalid")</f>
        <v>Valid</v>
      </c>
      <c r="C221" s="144"/>
      <c r="D221" s="478"/>
      <c r="E221" s="479"/>
      <c r="F221" s="580"/>
      <c r="G221" s="480"/>
      <c r="H221" s="580"/>
      <c r="I221" s="483"/>
      <c r="J221" s="146"/>
      <c r="K221" s="297"/>
      <c r="L221" s="541"/>
      <c r="M221" s="469"/>
      <c r="N221" s="262"/>
      <c r="O221" s="348" t="s">
        <v>280</v>
      </c>
      <c r="P221" s="349" t="s">
        <v>79</v>
      </c>
      <c r="Q221" s="476"/>
      <c r="R221" s="467"/>
      <c r="S221" s="467"/>
      <c r="T221" s="476"/>
      <c r="U221" s="490" t="str">
        <f>IF(ISERROR(VLOOKUP($T221, 'Reference data'!$J$2:$K$139, 2, FALSE)),"-",VLOOKUP($T221, 'Reference data'!$J$2:$K$139, 2, FALSE))</f>
        <v>-</v>
      </c>
      <c r="V221" s="147"/>
      <c r="W221" s="147"/>
      <c r="X221" s="471"/>
      <c r="Y221" s="472"/>
      <c r="Z221" s="144"/>
      <c r="AA221" s="508"/>
      <c r="AB221" s="163"/>
      <c r="AC221" s="148"/>
      <c r="AD221" s="480"/>
      <c r="AE221" s="348" t="s">
        <v>280</v>
      </c>
      <c r="AF221" s="354" t="s">
        <v>79</v>
      </c>
      <c r="AG221" s="484"/>
    </row>
    <row r="222" spans="2:33" s="434" customFormat="1">
      <c r="B222" s="493" t="str">
        <f>IF(AND(Validator!G216=TRUE,Validator!G466=TRUE,Validator!G716=TRUE,Validator!G966=TRUE,Validator!G1216=TRUE,Validator!G1466=TRUE),"Valid","Invalid")</f>
        <v>Valid</v>
      </c>
      <c r="C222" s="144"/>
      <c r="D222" s="478"/>
      <c r="E222" s="479"/>
      <c r="F222" s="580"/>
      <c r="G222" s="480"/>
      <c r="H222" s="580"/>
      <c r="I222" s="483"/>
      <c r="J222" s="146"/>
      <c r="K222" s="297"/>
      <c r="L222" s="541"/>
      <c r="M222" s="469"/>
      <c r="N222" s="262"/>
      <c r="O222" s="348" t="s">
        <v>280</v>
      </c>
      <c r="P222" s="349" t="s">
        <v>79</v>
      </c>
      <c r="Q222" s="476"/>
      <c r="R222" s="467"/>
      <c r="S222" s="467"/>
      <c r="T222" s="476"/>
      <c r="U222" s="490" t="str">
        <f>IF(ISERROR(VLOOKUP($T222, 'Reference data'!$J$2:$K$139, 2, FALSE)),"-",VLOOKUP($T222, 'Reference data'!$J$2:$K$139, 2, FALSE))</f>
        <v>-</v>
      </c>
      <c r="V222" s="147"/>
      <c r="W222" s="147"/>
      <c r="X222" s="471"/>
      <c r="Y222" s="472"/>
      <c r="Z222" s="144"/>
      <c r="AA222" s="508"/>
      <c r="AB222" s="163"/>
      <c r="AC222" s="148"/>
      <c r="AD222" s="480"/>
      <c r="AE222" s="348" t="s">
        <v>280</v>
      </c>
      <c r="AF222" s="354" t="s">
        <v>79</v>
      </c>
      <c r="AG222" s="484"/>
    </row>
    <row r="223" spans="2:33" s="434" customFormat="1">
      <c r="B223" s="493" t="str">
        <f>IF(AND(Validator!G217=TRUE,Validator!G467=TRUE,Validator!G717=TRUE,Validator!G967=TRUE,Validator!G1217=TRUE,Validator!G1467=TRUE),"Valid","Invalid")</f>
        <v>Valid</v>
      </c>
      <c r="C223" s="144"/>
      <c r="D223" s="478"/>
      <c r="E223" s="479"/>
      <c r="F223" s="580"/>
      <c r="G223" s="480"/>
      <c r="H223" s="580"/>
      <c r="I223" s="483"/>
      <c r="J223" s="146"/>
      <c r="K223" s="297"/>
      <c r="L223" s="541"/>
      <c r="M223" s="469"/>
      <c r="N223" s="262"/>
      <c r="O223" s="348" t="s">
        <v>280</v>
      </c>
      <c r="P223" s="349" t="s">
        <v>79</v>
      </c>
      <c r="Q223" s="476"/>
      <c r="R223" s="467"/>
      <c r="S223" s="467"/>
      <c r="T223" s="476"/>
      <c r="U223" s="490" t="str">
        <f>IF(ISERROR(VLOOKUP($T223, 'Reference data'!$J$2:$K$139, 2, FALSE)),"-",VLOOKUP($T223, 'Reference data'!$J$2:$K$139, 2, FALSE))</f>
        <v>-</v>
      </c>
      <c r="V223" s="147"/>
      <c r="W223" s="147"/>
      <c r="X223" s="471"/>
      <c r="Y223" s="472"/>
      <c r="Z223" s="144"/>
      <c r="AA223" s="508"/>
      <c r="AB223" s="163"/>
      <c r="AC223" s="148"/>
      <c r="AD223" s="480"/>
      <c r="AE223" s="348" t="s">
        <v>280</v>
      </c>
      <c r="AF223" s="354" t="s">
        <v>79</v>
      </c>
      <c r="AG223" s="484"/>
    </row>
    <row r="224" spans="2:33" s="434" customFormat="1">
      <c r="B224" s="493" t="str">
        <f>IF(AND(Validator!G218=TRUE,Validator!G468=TRUE,Validator!G718=TRUE,Validator!G968=TRUE,Validator!G1218=TRUE,Validator!G1468=TRUE),"Valid","Invalid")</f>
        <v>Valid</v>
      </c>
      <c r="C224" s="144"/>
      <c r="D224" s="478"/>
      <c r="E224" s="479"/>
      <c r="F224" s="580"/>
      <c r="G224" s="480"/>
      <c r="H224" s="580"/>
      <c r="I224" s="483"/>
      <c r="J224" s="146"/>
      <c r="K224" s="297"/>
      <c r="L224" s="541"/>
      <c r="M224" s="469"/>
      <c r="N224" s="262"/>
      <c r="O224" s="348" t="s">
        <v>280</v>
      </c>
      <c r="P224" s="349" t="s">
        <v>79</v>
      </c>
      <c r="Q224" s="476"/>
      <c r="R224" s="467"/>
      <c r="S224" s="467"/>
      <c r="T224" s="476"/>
      <c r="U224" s="490" t="str">
        <f>IF(ISERROR(VLOOKUP($T224, 'Reference data'!$J$2:$K$139, 2, FALSE)),"-",VLOOKUP($T224, 'Reference data'!$J$2:$K$139, 2, FALSE))</f>
        <v>-</v>
      </c>
      <c r="V224" s="147"/>
      <c r="W224" s="147"/>
      <c r="X224" s="471"/>
      <c r="Y224" s="472"/>
      <c r="Z224" s="144"/>
      <c r="AA224" s="508"/>
      <c r="AB224" s="163"/>
      <c r="AC224" s="148"/>
      <c r="AD224" s="480"/>
      <c r="AE224" s="348" t="s">
        <v>280</v>
      </c>
      <c r="AF224" s="354" t="s">
        <v>79</v>
      </c>
      <c r="AG224" s="484"/>
    </row>
    <row r="225" spans="2:33" s="434" customFormat="1">
      <c r="B225" s="493" t="str">
        <f>IF(AND(Validator!G219=TRUE,Validator!G469=TRUE,Validator!G719=TRUE,Validator!G969=TRUE,Validator!G1219=TRUE,Validator!G1469=TRUE),"Valid","Invalid")</f>
        <v>Valid</v>
      </c>
      <c r="C225" s="144"/>
      <c r="D225" s="478"/>
      <c r="E225" s="479"/>
      <c r="F225" s="580"/>
      <c r="G225" s="480"/>
      <c r="H225" s="580"/>
      <c r="I225" s="483"/>
      <c r="J225" s="146"/>
      <c r="K225" s="297"/>
      <c r="L225" s="541"/>
      <c r="M225" s="469"/>
      <c r="N225" s="262"/>
      <c r="O225" s="348" t="s">
        <v>280</v>
      </c>
      <c r="P225" s="349" t="s">
        <v>79</v>
      </c>
      <c r="Q225" s="476"/>
      <c r="R225" s="467"/>
      <c r="S225" s="467"/>
      <c r="T225" s="476"/>
      <c r="U225" s="490" t="str">
        <f>IF(ISERROR(VLOOKUP($T225, 'Reference data'!$J$2:$K$139, 2, FALSE)),"-",VLOOKUP($T225, 'Reference data'!$J$2:$K$139, 2, FALSE))</f>
        <v>-</v>
      </c>
      <c r="V225" s="147"/>
      <c r="W225" s="147"/>
      <c r="X225" s="471"/>
      <c r="Y225" s="472"/>
      <c r="Z225" s="144"/>
      <c r="AA225" s="508"/>
      <c r="AB225" s="163"/>
      <c r="AC225" s="148"/>
      <c r="AD225" s="480"/>
      <c r="AE225" s="348" t="s">
        <v>280</v>
      </c>
      <c r="AF225" s="354" t="s">
        <v>79</v>
      </c>
      <c r="AG225" s="484"/>
    </row>
    <row r="226" spans="2:33" s="434" customFormat="1">
      <c r="B226" s="493" t="str">
        <f>IF(AND(Validator!G220=TRUE,Validator!G470=TRUE,Validator!G720=TRUE,Validator!G970=TRUE,Validator!G1220=TRUE,Validator!G1470=TRUE),"Valid","Invalid")</f>
        <v>Valid</v>
      </c>
      <c r="C226" s="144"/>
      <c r="D226" s="478"/>
      <c r="E226" s="479"/>
      <c r="F226" s="580"/>
      <c r="G226" s="480"/>
      <c r="H226" s="580"/>
      <c r="I226" s="483"/>
      <c r="J226" s="146"/>
      <c r="K226" s="297"/>
      <c r="L226" s="541"/>
      <c r="M226" s="469"/>
      <c r="N226" s="262"/>
      <c r="O226" s="348" t="s">
        <v>280</v>
      </c>
      <c r="P226" s="349" t="s">
        <v>79</v>
      </c>
      <c r="Q226" s="476"/>
      <c r="R226" s="467"/>
      <c r="S226" s="467"/>
      <c r="T226" s="476"/>
      <c r="U226" s="490" t="str">
        <f>IF(ISERROR(VLOOKUP($T226, 'Reference data'!$J$2:$K$139, 2, FALSE)),"-",VLOOKUP($T226, 'Reference data'!$J$2:$K$139, 2, FALSE))</f>
        <v>-</v>
      </c>
      <c r="V226" s="147"/>
      <c r="W226" s="147"/>
      <c r="X226" s="471"/>
      <c r="Y226" s="472"/>
      <c r="Z226" s="144"/>
      <c r="AA226" s="508"/>
      <c r="AB226" s="163"/>
      <c r="AC226" s="148"/>
      <c r="AD226" s="480"/>
      <c r="AE226" s="348" t="s">
        <v>280</v>
      </c>
      <c r="AF226" s="354" t="s">
        <v>79</v>
      </c>
      <c r="AG226" s="484"/>
    </row>
    <row r="227" spans="2:33" s="434" customFormat="1">
      <c r="B227" s="493" t="str">
        <f>IF(AND(Validator!G221=TRUE,Validator!G471=TRUE,Validator!G721=TRUE,Validator!G971=TRUE,Validator!G1221=TRUE,Validator!G1471=TRUE),"Valid","Invalid")</f>
        <v>Valid</v>
      </c>
      <c r="C227" s="144"/>
      <c r="D227" s="478"/>
      <c r="E227" s="479"/>
      <c r="F227" s="580"/>
      <c r="G227" s="480"/>
      <c r="H227" s="580"/>
      <c r="I227" s="483"/>
      <c r="J227" s="146"/>
      <c r="K227" s="297"/>
      <c r="L227" s="541"/>
      <c r="M227" s="469"/>
      <c r="N227" s="262"/>
      <c r="O227" s="348" t="s">
        <v>280</v>
      </c>
      <c r="P227" s="349" t="s">
        <v>79</v>
      </c>
      <c r="Q227" s="476"/>
      <c r="R227" s="467"/>
      <c r="S227" s="467"/>
      <c r="T227" s="476"/>
      <c r="U227" s="490" t="str">
        <f>IF(ISERROR(VLOOKUP($T227, 'Reference data'!$J$2:$K$139, 2, FALSE)),"-",VLOOKUP($T227, 'Reference data'!$J$2:$K$139, 2, FALSE))</f>
        <v>-</v>
      </c>
      <c r="V227" s="147"/>
      <c r="W227" s="147"/>
      <c r="X227" s="471"/>
      <c r="Y227" s="472"/>
      <c r="Z227" s="144"/>
      <c r="AA227" s="508"/>
      <c r="AB227" s="163"/>
      <c r="AC227" s="148"/>
      <c r="AD227" s="480"/>
      <c r="AE227" s="348" t="s">
        <v>280</v>
      </c>
      <c r="AF227" s="354" t="s">
        <v>79</v>
      </c>
      <c r="AG227" s="484"/>
    </row>
    <row r="228" spans="2:33" s="434" customFormat="1">
      <c r="B228" s="493" t="str">
        <f>IF(AND(Validator!G222=TRUE,Validator!G472=TRUE,Validator!G722=TRUE,Validator!G972=TRUE,Validator!G1222=TRUE,Validator!G1472=TRUE),"Valid","Invalid")</f>
        <v>Valid</v>
      </c>
      <c r="C228" s="144"/>
      <c r="D228" s="478"/>
      <c r="E228" s="479"/>
      <c r="F228" s="580"/>
      <c r="G228" s="480"/>
      <c r="H228" s="580"/>
      <c r="I228" s="483"/>
      <c r="J228" s="146"/>
      <c r="K228" s="297"/>
      <c r="L228" s="541"/>
      <c r="M228" s="469"/>
      <c r="N228" s="262"/>
      <c r="O228" s="348" t="s">
        <v>280</v>
      </c>
      <c r="P228" s="349" t="s">
        <v>79</v>
      </c>
      <c r="Q228" s="476"/>
      <c r="R228" s="467"/>
      <c r="S228" s="467"/>
      <c r="T228" s="476"/>
      <c r="U228" s="490" t="str">
        <f>IF(ISERROR(VLOOKUP($T228, 'Reference data'!$J$2:$K$139, 2, FALSE)),"-",VLOOKUP($T228, 'Reference data'!$J$2:$K$139, 2, FALSE))</f>
        <v>-</v>
      </c>
      <c r="V228" s="147"/>
      <c r="W228" s="147"/>
      <c r="X228" s="471"/>
      <c r="Y228" s="472"/>
      <c r="Z228" s="144"/>
      <c r="AA228" s="508"/>
      <c r="AB228" s="163"/>
      <c r="AC228" s="148"/>
      <c r="AD228" s="480"/>
      <c r="AE228" s="348" t="s">
        <v>280</v>
      </c>
      <c r="AF228" s="354" t="s">
        <v>79</v>
      </c>
      <c r="AG228" s="484"/>
    </row>
    <row r="229" spans="2:33" s="434" customFormat="1">
      <c r="B229" s="493" t="str">
        <f>IF(AND(Validator!G223=TRUE,Validator!G473=TRUE,Validator!G723=TRUE,Validator!G973=TRUE,Validator!G1223=TRUE,Validator!G1473=TRUE),"Valid","Invalid")</f>
        <v>Valid</v>
      </c>
      <c r="C229" s="144"/>
      <c r="D229" s="478"/>
      <c r="E229" s="479"/>
      <c r="F229" s="580"/>
      <c r="G229" s="480"/>
      <c r="H229" s="580"/>
      <c r="I229" s="483"/>
      <c r="J229" s="146"/>
      <c r="K229" s="297"/>
      <c r="L229" s="541"/>
      <c r="M229" s="469"/>
      <c r="N229" s="262"/>
      <c r="O229" s="348" t="s">
        <v>280</v>
      </c>
      <c r="P229" s="349" t="s">
        <v>79</v>
      </c>
      <c r="Q229" s="476"/>
      <c r="R229" s="467"/>
      <c r="S229" s="467"/>
      <c r="T229" s="476"/>
      <c r="U229" s="490" t="str">
        <f>IF(ISERROR(VLOOKUP($T229, 'Reference data'!$J$2:$K$139, 2, FALSE)),"-",VLOOKUP($T229, 'Reference data'!$J$2:$K$139, 2, FALSE))</f>
        <v>-</v>
      </c>
      <c r="V229" s="147"/>
      <c r="W229" s="147"/>
      <c r="X229" s="471"/>
      <c r="Y229" s="472"/>
      <c r="Z229" s="144"/>
      <c r="AA229" s="508"/>
      <c r="AB229" s="163"/>
      <c r="AC229" s="148"/>
      <c r="AD229" s="480"/>
      <c r="AE229" s="348" t="s">
        <v>280</v>
      </c>
      <c r="AF229" s="354" t="s">
        <v>79</v>
      </c>
      <c r="AG229" s="484"/>
    </row>
    <row r="230" spans="2:33" s="434" customFormat="1">
      <c r="B230" s="493" t="str">
        <f>IF(AND(Validator!G224=TRUE,Validator!G474=TRUE,Validator!G724=TRUE,Validator!G974=TRUE,Validator!G1224=TRUE,Validator!G1474=TRUE),"Valid","Invalid")</f>
        <v>Valid</v>
      </c>
      <c r="C230" s="144"/>
      <c r="D230" s="478"/>
      <c r="E230" s="479"/>
      <c r="F230" s="580"/>
      <c r="G230" s="480"/>
      <c r="H230" s="580"/>
      <c r="I230" s="483"/>
      <c r="J230" s="146"/>
      <c r="K230" s="297"/>
      <c r="L230" s="541"/>
      <c r="M230" s="469"/>
      <c r="N230" s="262"/>
      <c r="O230" s="348" t="s">
        <v>280</v>
      </c>
      <c r="P230" s="349" t="s">
        <v>79</v>
      </c>
      <c r="Q230" s="476"/>
      <c r="R230" s="467"/>
      <c r="S230" s="467"/>
      <c r="T230" s="476"/>
      <c r="U230" s="490" t="str">
        <f>IF(ISERROR(VLOOKUP($T230, 'Reference data'!$J$2:$K$139, 2, FALSE)),"-",VLOOKUP($T230, 'Reference data'!$J$2:$K$139, 2, FALSE))</f>
        <v>-</v>
      </c>
      <c r="V230" s="147"/>
      <c r="W230" s="147"/>
      <c r="X230" s="471"/>
      <c r="Y230" s="472"/>
      <c r="Z230" s="144"/>
      <c r="AA230" s="508"/>
      <c r="AB230" s="163"/>
      <c r="AC230" s="148"/>
      <c r="AD230" s="480"/>
      <c r="AE230" s="348" t="s">
        <v>280</v>
      </c>
      <c r="AF230" s="354" t="s">
        <v>79</v>
      </c>
      <c r="AG230" s="484"/>
    </row>
    <row r="231" spans="2:33" s="434" customFormat="1">
      <c r="B231" s="493" t="str">
        <f>IF(AND(Validator!G225=TRUE,Validator!G475=TRUE,Validator!G725=TRUE,Validator!G975=TRUE,Validator!G1225=TRUE,Validator!G1475=TRUE),"Valid","Invalid")</f>
        <v>Valid</v>
      </c>
      <c r="C231" s="144"/>
      <c r="D231" s="478"/>
      <c r="E231" s="479"/>
      <c r="F231" s="580"/>
      <c r="G231" s="480"/>
      <c r="H231" s="580"/>
      <c r="I231" s="483"/>
      <c r="J231" s="146"/>
      <c r="K231" s="297"/>
      <c r="L231" s="541"/>
      <c r="M231" s="469"/>
      <c r="N231" s="262"/>
      <c r="O231" s="348" t="s">
        <v>280</v>
      </c>
      <c r="P231" s="349" t="s">
        <v>79</v>
      </c>
      <c r="Q231" s="476"/>
      <c r="R231" s="467"/>
      <c r="S231" s="467"/>
      <c r="T231" s="476"/>
      <c r="U231" s="490" t="str">
        <f>IF(ISERROR(VLOOKUP($T231, 'Reference data'!$J$2:$K$139, 2, FALSE)),"-",VLOOKUP($T231, 'Reference data'!$J$2:$K$139, 2, FALSE))</f>
        <v>-</v>
      </c>
      <c r="V231" s="147"/>
      <c r="W231" s="147"/>
      <c r="X231" s="471"/>
      <c r="Y231" s="472"/>
      <c r="Z231" s="144"/>
      <c r="AA231" s="508"/>
      <c r="AB231" s="163"/>
      <c r="AC231" s="148"/>
      <c r="AD231" s="480"/>
      <c r="AE231" s="348" t="s">
        <v>280</v>
      </c>
      <c r="AF231" s="354" t="s">
        <v>79</v>
      </c>
      <c r="AG231" s="484"/>
    </row>
    <row r="232" spans="2:33" s="434" customFormat="1">
      <c r="B232" s="493" t="str">
        <f>IF(AND(Validator!G226=TRUE,Validator!G476=TRUE,Validator!G726=TRUE,Validator!G976=TRUE,Validator!G1226=TRUE,Validator!G1476=TRUE),"Valid","Invalid")</f>
        <v>Valid</v>
      </c>
      <c r="C232" s="144"/>
      <c r="D232" s="478"/>
      <c r="E232" s="479"/>
      <c r="F232" s="580"/>
      <c r="G232" s="480"/>
      <c r="H232" s="580"/>
      <c r="I232" s="483"/>
      <c r="J232" s="146"/>
      <c r="K232" s="297"/>
      <c r="L232" s="541"/>
      <c r="M232" s="469"/>
      <c r="N232" s="262"/>
      <c r="O232" s="348" t="s">
        <v>280</v>
      </c>
      <c r="P232" s="349" t="s">
        <v>79</v>
      </c>
      <c r="Q232" s="476"/>
      <c r="R232" s="467"/>
      <c r="S232" s="467"/>
      <c r="T232" s="476"/>
      <c r="U232" s="490" t="str">
        <f>IF(ISERROR(VLOOKUP($T232, 'Reference data'!$J$2:$K$139, 2, FALSE)),"-",VLOOKUP($T232, 'Reference data'!$J$2:$K$139, 2, FALSE))</f>
        <v>-</v>
      </c>
      <c r="V232" s="147"/>
      <c r="W232" s="147"/>
      <c r="X232" s="471"/>
      <c r="Y232" s="472"/>
      <c r="Z232" s="144"/>
      <c r="AA232" s="508"/>
      <c r="AB232" s="163"/>
      <c r="AC232" s="148"/>
      <c r="AD232" s="480"/>
      <c r="AE232" s="348" t="s">
        <v>280</v>
      </c>
      <c r="AF232" s="354" t="s">
        <v>79</v>
      </c>
      <c r="AG232" s="484"/>
    </row>
    <row r="233" spans="2:33" s="434" customFormat="1">
      <c r="B233" s="493" t="str">
        <f>IF(AND(Validator!G227=TRUE,Validator!G477=TRUE,Validator!G727=TRUE,Validator!G977=TRUE,Validator!G1227=TRUE,Validator!G1477=TRUE),"Valid","Invalid")</f>
        <v>Valid</v>
      </c>
      <c r="C233" s="144"/>
      <c r="D233" s="478"/>
      <c r="E233" s="479"/>
      <c r="F233" s="580"/>
      <c r="G233" s="480"/>
      <c r="H233" s="580"/>
      <c r="I233" s="483"/>
      <c r="J233" s="146"/>
      <c r="K233" s="297"/>
      <c r="L233" s="541"/>
      <c r="M233" s="469"/>
      <c r="N233" s="262"/>
      <c r="O233" s="348" t="s">
        <v>280</v>
      </c>
      <c r="P233" s="349" t="s">
        <v>79</v>
      </c>
      <c r="Q233" s="476"/>
      <c r="R233" s="467"/>
      <c r="S233" s="467"/>
      <c r="T233" s="476"/>
      <c r="U233" s="490" t="str">
        <f>IF(ISERROR(VLOOKUP($T233, 'Reference data'!$J$2:$K$139, 2, FALSE)),"-",VLOOKUP($T233, 'Reference data'!$J$2:$K$139, 2, FALSE))</f>
        <v>-</v>
      </c>
      <c r="V233" s="147"/>
      <c r="W233" s="147"/>
      <c r="X233" s="471"/>
      <c r="Y233" s="472"/>
      <c r="Z233" s="144"/>
      <c r="AA233" s="508"/>
      <c r="AB233" s="163"/>
      <c r="AC233" s="148"/>
      <c r="AD233" s="480"/>
      <c r="AE233" s="348" t="s">
        <v>280</v>
      </c>
      <c r="AF233" s="354" t="s">
        <v>79</v>
      </c>
      <c r="AG233" s="484"/>
    </row>
    <row r="234" spans="2:33" s="434" customFormat="1">
      <c r="B234" s="493" t="str">
        <f>IF(AND(Validator!G228=TRUE,Validator!G478=TRUE,Validator!G728=TRUE,Validator!G978=TRUE,Validator!G1228=TRUE,Validator!G1478=TRUE),"Valid","Invalid")</f>
        <v>Valid</v>
      </c>
      <c r="C234" s="144"/>
      <c r="D234" s="478"/>
      <c r="E234" s="479"/>
      <c r="F234" s="580"/>
      <c r="G234" s="480"/>
      <c r="H234" s="580"/>
      <c r="I234" s="483"/>
      <c r="J234" s="146"/>
      <c r="K234" s="297"/>
      <c r="L234" s="541"/>
      <c r="M234" s="469"/>
      <c r="N234" s="262"/>
      <c r="O234" s="348" t="s">
        <v>280</v>
      </c>
      <c r="P234" s="349" t="s">
        <v>79</v>
      </c>
      <c r="Q234" s="476"/>
      <c r="R234" s="467"/>
      <c r="S234" s="467"/>
      <c r="T234" s="476"/>
      <c r="U234" s="490" t="str">
        <f>IF(ISERROR(VLOOKUP($T234, 'Reference data'!$J$2:$K$139, 2, FALSE)),"-",VLOOKUP($T234, 'Reference data'!$J$2:$K$139, 2, FALSE))</f>
        <v>-</v>
      </c>
      <c r="V234" s="147"/>
      <c r="W234" s="147"/>
      <c r="X234" s="471"/>
      <c r="Y234" s="472"/>
      <c r="Z234" s="144"/>
      <c r="AA234" s="508"/>
      <c r="AB234" s="163"/>
      <c r="AC234" s="148"/>
      <c r="AD234" s="480"/>
      <c r="AE234" s="348" t="s">
        <v>280</v>
      </c>
      <c r="AF234" s="354" t="s">
        <v>79</v>
      </c>
      <c r="AG234" s="484"/>
    </row>
    <row r="235" spans="2:33" s="434" customFormat="1">
      <c r="B235" s="493" t="str">
        <f>IF(AND(Validator!G229=TRUE,Validator!G479=TRUE,Validator!G729=TRUE,Validator!G979=TRUE,Validator!G1229=TRUE,Validator!G1479=TRUE),"Valid","Invalid")</f>
        <v>Valid</v>
      </c>
      <c r="C235" s="144"/>
      <c r="D235" s="478"/>
      <c r="E235" s="479"/>
      <c r="F235" s="580"/>
      <c r="G235" s="480"/>
      <c r="H235" s="580"/>
      <c r="I235" s="483"/>
      <c r="J235" s="146"/>
      <c r="K235" s="297"/>
      <c r="L235" s="541"/>
      <c r="M235" s="469"/>
      <c r="N235" s="262"/>
      <c r="O235" s="348" t="s">
        <v>280</v>
      </c>
      <c r="P235" s="349" t="s">
        <v>79</v>
      </c>
      <c r="Q235" s="476"/>
      <c r="R235" s="467"/>
      <c r="S235" s="467"/>
      <c r="T235" s="476"/>
      <c r="U235" s="490" t="str">
        <f>IF(ISERROR(VLOOKUP($T235, 'Reference data'!$J$2:$K$139, 2, FALSE)),"-",VLOOKUP($T235, 'Reference data'!$J$2:$K$139, 2, FALSE))</f>
        <v>-</v>
      </c>
      <c r="V235" s="147"/>
      <c r="W235" s="147"/>
      <c r="X235" s="471"/>
      <c r="Y235" s="472"/>
      <c r="Z235" s="144"/>
      <c r="AA235" s="508"/>
      <c r="AB235" s="163"/>
      <c r="AC235" s="148"/>
      <c r="AD235" s="480"/>
      <c r="AE235" s="348" t="s">
        <v>280</v>
      </c>
      <c r="AF235" s="354" t="s">
        <v>79</v>
      </c>
      <c r="AG235" s="484"/>
    </row>
    <row r="236" spans="2:33" s="434" customFormat="1">
      <c r="B236" s="493" t="str">
        <f>IF(AND(Validator!G230=TRUE,Validator!G480=TRUE,Validator!G730=TRUE,Validator!G980=TRUE,Validator!G1230=TRUE,Validator!G1480=TRUE),"Valid","Invalid")</f>
        <v>Valid</v>
      </c>
      <c r="C236" s="144"/>
      <c r="D236" s="478"/>
      <c r="E236" s="479"/>
      <c r="F236" s="580"/>
      <c r="G236" s="480"/>
      <c r="H236" s="580"/>
      <c r="I236" s="483"/>
      <c r="J236" s="146"/>
      <c r="K236" s="297"/>
      <c r="L236" s="541"/>
      <c r="M236" s="469"/>
      <c r="N236" s="262"/>
      <c r="O236" s="348" t="s">
        <v>280</v>
      </c>
      <c r="P236" s="349" t="s">
        <v>79</v>
      </c>
      <c r="Q236" s="476"/>
      <c r="R236" s="467"/>
      <c r="S236" s="467"/>
      <c r="T236" s="476"/>
      <c r="U236" s="490" t="str">
        <f>IF(ISERROR(VLOOKUP($T236, 'Reference data'!$J$2:$K$139, 2, FALSE)),"-",VLOOKUP($T236, 'Reference data'!$J$2:$K$139, 2, FALSE))</f>
        <v>-</v>
      </c>
      <c r="V236" s="147"/>
      <c r="W236" s="147"/>
      <c r="X236" s="471"/>
      <c r="Y236" s="472"/>
      <c r="Z236" s="144"/>
      <c r="AA236" s="508"/>
      <c r="AB236" s="163"/>
      <c r="AC236" s="148"/>
      <c r="AD236" s="480"/>
      <c r="AE236" s="348" t="s">
        <v>280</v>
      </c>
      <c r="AF236" s="354" t="s">
        <v>79</v>
      </c>
      <c r="AG236" s="484"/>
    </row>
    <row r="237" spans="2:33" s="434" customFormat="1">
      <c r="B237" s="493" t="str">
        <f>IF(AND(Validator!G231=TRUE,Validator!G481=TRUE,Validator!G731=TRUE,Validator!G981=TRUE,Validator!G1231=TRUE,Validator!G1481=TRUE),"Valid","Invalid")</f>
        <v>Valid</v>
      </c>
      <c r="C237" s="144"/>
      <c r="D237" s="478"/>
      <c r="E237" s="479"/>
      <c r="F237" s="580"/>
      <c r="G237" s="480"/>
      <c r="H237" s="580"/>
      <c r="I237" s="483"/>
      <c r="J237" s="146"/>
      <c r="K237" s="297"/>
      <c r="L237" s="541"/>
      <c r="M237" s="469"/>
      <c r="N237" s="262"/>
      <c r="O237" s="348" t="s">
        <v>280</v>
      </c>
      <c r="P237" s="349" t="s">
        <v>79</v>
      </c>
      <c r="Q237" s="476"/>
      <c r="R237" s="467"/>
      <c r="S237" s="467"/>
      <c r="T237" s="476"/>
      <c r="U237" s="490" t="str">
        <f>IF(ISERROR(VLOOKUP($T237, 'Reference data'!$J$2:$K$139, 2, FALSE)),"-",VLOOKUP($T237, 'Reference data'!$J$2:$K$139, 2, FALSE))</f>
        <v>-</v>
      </c>
      <c r="V237" s="147"/>
      <c r="W237" s="147"/>
      <c r="X237" s="471"/>
      <c r="Y237" s="472"/>
      <c r="Z237" s="144"/>
      <c r="AA237" s="508"/>
      <c r="AB237" s="163"/>
      <c r="AC237" s="148"/>
      <c r="AD237" s="480"/>
      <c r="AE237" s="348" t="s">
        <v>280</v>
      </c>
      <c r="AF237" s="354" t="s">
        <v>79</v>
      </c>
      <c r="AG237" s="484"/>
    </row>
    <row r="238" spans="2:33" s="434" customFormat="1">
      <c r="B238" s="493" t="str">
        <f>IF(AND(Validator!G232=TRUE,Validator!G482=TRUE,Validator!G732=TRUE,Validator!G982=TRUE,Validator!G1232=TRUE,Validator!G1482=TRUE),"Valid","Invalid")</f>
        <v>Valid</v>
      </c>
      <c r="C238" s="144"/>
      <c r="D238" s="478"/>
      <c r="E238" s="479"/>
      <c r="F238" s="580"/>
      <c r="G238" s="480"/>
      <c r="H238" s="580"/>
      <c r="I238" s="483"/>
      <c r="J238" s="146"/>
      <c r="K238" s="297"/>
      <c r="L238" s="541"/>
      <c r="M238" s="469"/>
      <c r="N238" s="262"/>
      <c r="O238" s="348" t="s">
        <v>280</v>
      </c>
      <c r="P238" s="349" t="s">
        <v>79</v>
      </c>
      <c r="Q238" s="476"/>
      <c r="R238" s="467"/>
      <c r="S238" s="467"/>
      <c r="T238" s="476"/>
      <c r="U238" s="490" t="str">
        <f>IF(ISERROR(VLOOKUP($T238, 'Reference data'!$J$2:$K$139, 2, FALSE)),"-",VLOOKUP($T238, 'Reference data'!$J$2:$K$139, 2, FALSE))</f>
        <v>-</v>
      </c>
      <c r="V238" s="147"/>
      <c r="W238" s="147"/>
      <c r="X238" s="471"/>
      <c r="Y238" s="472"/>
      <c r="Z238" s="144"/>
      <c r="AA238" s="508"/>
      <c r="AB238" s="163"/>
      <c r="AC238" s="148"/>
      <c r="AD238" s="480"/>
      <c r="AE238" s="348" t="s">
        <v>280</v>
      </c>
      <c r="AF238" s="354" t="s">
        <v>79</v>
      </c>
      <c r="AG238" s="484"/>
    </row>
    <row r="239" spans="2:33" s="434" customFormat="1">
      <c r="B239" s="493" t="str">
        <f>IF(AND(Validator!G233=TRUE,Validator!G483=TRUE,Validator!G733=TRUE,Validator!G983=TRUE,Validator!G1233=TRUE,Validator!G1483=TRUE),"Valid","Invalid")</f>
        <v>Valid</v>
      </c>
      <c r="C239" s="144"/>
      <c r="D239" s="478"/>
      <c r="E239" s="479"/>
      <c r="F239" s="580"/>
      <c r="G239" s="480"/>
      <c r="H239" s="580"/>
      <c r="I239" s="483"/>
      <c r="J239" s="146"/>
      <c r="K239" s="297"/>
      <c r="L239" s="541"/>
      <c r="M239" s="469"/>
      <c r="N239" s="262"/>
      <c r="O239" s="348" t="s">
        <v>280</v>
      </c>
      <c r="P239" s="349" t="s">
        <v>79</v>
      </c>
      <c r="Q239" s="476"/>
      <c r="R239" s="467"/>
      <c r="S239" s="467"/>
      <c r="T239" s="476"/>
      <c r="U239" s="490" t="str">
        <f>IF(ISERROR(VLOOKUP($T239, 'Reference data'!$J$2:$K$139, 2, FALSE)),"-",VLOOKUP($T239, 'Reference data'!$J$2:$K$139, 2, FALSE))</f>
        <v>-</v>
      </c>
      <c r="V239" s="147"/>
      <c r="W239" s="147"/>
      <c r="X239" s="471"/>
      <c r="Y239" s="472"/>
      <c r="Z239" s="144"/>
      <c r="AA239" s="508"/>
      <c r="AB239" s="163"/>
      <c r="AC239" s="148"/>
      <c r="AD239" s="480"/>
      <c r="AE239" s="348" t="s">
        <v>280</v>
      </c>
      <c r="AF239" s="354" t="s">
        <v>79</v>
      </c>
      <c r="AG239" s="484"/>
    </row>
    <row r="240" spans="2:33" s="434" customFormat="1">
      <c r="B240" s="493" t="str">
        <f>IF(AND(Validator!G234=TRUE,Validator!G484=TRUE,Validator!G734=TRUE,Validator!G984=TRUE,Validator!G1234=TRUE,Validator!G1484=TRUE),"Valid","Invalid")</f>
        <v>Valid</v>
      </c>
      <c r="C240" s="144"/>
      <c r="D240" s="478"/>
      <c r="E240" s="479"/>
      <c r="F240" s="580"/>
      <c r="G240" s="480"/>
      <c r="H240" s="580"/>
      <c r="I240" s="483"/>
      <c r="J240" s="146"/>
      <c r="K240" s="297"/>
      <c r="L240" s="541"/>
      <c r="M240" s="469"/>
      <c r="N240" s="262"/>
      <c r="O240" s="348" t="s">
        <v>280</v>
      </c>
      <c r="P240" s="349" t="s">
        <v>79</v>
      </c>
      <c r="Q240" s="476"/>
      <c r="R240" s="467"/>
      <c r="S240" s="467"/>
      <c r="T240" s="476"/>
      <c r="U240" s="490" t="str">
        <f>IF(ISERROR(VLOOKUP($T240, 'Reference data'!$J$2:$K$139, 2, FALSE)),"-",VLOOKUP($T240, 'Reference data'!$J$2:$K$139, 2, FALSE))</f>
        <v>-</v>
      </c>
      <c r="V240" s="147"/>
      <c r="W240" s="147"/>
      <c r="X240" s="471"/>
      <c r="Y240" s="472"/>
      <c r="Z240" s="144"/>
      <c r="AA240" s="508"/>
      <c r="AB240" s="163"/>
      <c r="AC240" s="148"/>
      <c r="AD240" s="480"/>
      <c r="AE240" s="348" t="s">
        <v>280</v>
      </c>
      <c r="AF240" s="354" t="s">
        <v>79</v>
      </c>
      <c r="AG240" s="484"/>
    </row>
    <row r="241" spans="2:33" s="434" customFormat="1">
      <c r="B241" s="493" t="str">
        <f>IF(AND(Validator!G235=TRUE,Validator!G485=TRUE,Validator!G735=TRUE,Validator!G985=TRUE,Validator!G1235=TRUE,Validator!G1485=TRUE),"Valid","Invalid")</f>
        <v>Valid</v>
      </c>
      <c r="C241" s="144"/>
      <c r="D241" s="478"/>
      <c r="E241" s="479"/>
      <c r="F241" s="580"/>
      <c r="G241" s="480"/>
      <c r="H241" s="580"/>
      <c r="I241" s="483"/>
      <c r="J241" s="146"/>
      <c r="K241" s="297"/>
      <c r="L241" s="541"/>
      <c r="M241" s="469"/>
      <c r="N241" s="262"/>
      <c r="O241" s="348" t="s">
        <v>280</v>
      </c>
      <c r="P241" s="349" t="s">
        <v>79</v>
      </c>
      <c r="Q241" s="476"/>
      <c r="R241" s="467"/>
      <c r="S241" s="467"/>
      <c r="T241" s="476"/>
      <c r="U241" s="490" t="str">
        <f>IF(ISERROR(VLOOKUP($T241, 'Reference data'!$J$2:$K$139, 2, FALSE)),"-",VLOOKUP($T241, 'Reference data'!$J$2:$K$139, 2, FALSE))</f>
        <v>-</v>
      </c>
      <c r="V241" s="147"/>
      <c r="W241" s="147"/>
      <c r="X241" s="471"/>
      <c r="Y241" s="472"/>
      <c r="Z241" s="144"/>
      <c r="AA241" s="508"/>
      <c r="AB241" s="163"/>
      <c r="AC241" s="148"/>
      <c r="AD241" s="480"/>
      <c r="AE241" s="348" t="s">
        <v>280</v>
      </c>
      <c r="AF241" s="354" t="s">
        <v>79</v>
      </c>
      <c r="AG241" s="484"/>
    </row>
    <row r="242" spans="2:33" s="434" customFormat="1">
      <c r="B242" s="493" t="str">
        <f>IF(AND(Validator!G236=TRUE,Validator!G486=TRUE,Validator!G736=TRUE,Validator!G986=TRUE,Validator!G1236=TRUE,Validator!G1486=TRUE),"Valid","Invalid")</f>
        <v>Valid</v>
      </c>
      <c r="C242" s="144"/>
      <c r="D242" s="478"/>
      <c r="E242" s="479"/>
      <c r="F242" s="580"/>
      <c r="G242" s="480"/>
      <c r="H242" s="580"/>
      <c r="I242" s="483"/>
      <c r="J242" s="146"/>
      <c r="K242" s="297"/>
      <c r="L242" s="541"/>
      <c r="M242" s="469"/>
      <c r="N242" s="262"/>
      <c r="O242" s="348" t="s">
        <v>280</v>
      </c>
      <c r="P242" s="349" t="s">
        <v>79</v>
      </c>
      <c r="Q242" s="476"/>
      <c r="R242" s="467"/>
      <c r="S242" s="467"/>
      <c r="T242" s="476"/>
      <c r="U242" s="490" t="str">
        <f>IF(ISERROR(VLOOKUP($T242, 'Reference data'!$J$2:$K$139, 2, FALSE)),"-",VLOOKUP($T242, 'Reference data'!$J$2:$K$139, 2, FALSE))</f>
        <v>-</v>
      </c>
      <c r="V242" s="147"/>
      <c r="W242" s="147"/>
      <c r="X242" s="471"/>
      <c r="Y242" s="472"/>
      <c r="Z242" s="144"/>
      <c r="AA242" s="508"/>
      <c r="AB242" s="163"/>
      <c r="AC242" s="148"/>
      <c r="AD242" s="480"/>
      <c r="AE242" s="348" t="s">
        <v>280</v>
      </c>
      <c r="AF242" s="354" t="s">
        <v>79</v>
      </c>
      <c r="AG242" s="484"/>
    </row>
    <row r="243" spans="2:33" s="434" customFormat="1">
      <c r="B243" s="493" t="str">
        <f>IF(AND(Validator!G237=TRUE,Validator!G487=TRUE,Validator!G737=TRUE,Validator!G987=TRUE,Validator!G1237=TRUE,Validator!G1487=TRUE),"Valid","Invalid")</f>
        <v>Valid</v>
      </c>
      <c r="C243" s="144"/>
      <c r="D243" s="478"/>
      <c r="E243" s="479"/>
      <c r="F243" s="580"/>
      <c r="G243" s="480"/>
      <c r="H243" s="580"/>
      <c r="I243" s="483"/>
      <c r="J243" s="146"/>
      <c r="K243" s="297"/>
      <c r="L243" s="541"/>
      <c r="M243" s="469"/>
      <c r="N243" s="262"/>
      <c r="O243" s="348" t="s">
        <v>280</v>
      </c>
      <c r="P243" s="349" t="s">
        <v>79</v>
      </c>
      <c r="Q243" s="476"/>
      <c r="R243" s="467"/>
      <c r="S243" s="467"/>
      <c r="T243" s="476"/>
      <c r="U243" s="490" t="str">
        <f>IF(ISERROR(VLOOKUP($T243, 'Reference data'!$J$2:$K$139, 2, FALSE)),"-",VLOOKUP($T243, 'Reference data'!$J$2:$K$139, 2, FALSE))</f>
        <v>-</v>
      </c>
      <c r="V243" s="147"/>
      <c r="W243" s="147"/>
      <c r="X243" s="471"/>
      <c r="Y243" s="472"/>
      <c r="Z243" s="144"/>
      <c r="AA243" s="508"/>
      <c r="AB243" s="163"/>
      <c r="AC243" s="148"/>
      <c r="AD243" s="480"/>
      <c r="AE243" s="348" t="s">
        <v>280</v>
      </c>
      <c r="AF243" s="354" t="s">
        <v>79</v>
      </c>
      <c r="AG243" s="484"/>
    </row>
    <row r="244" spans="2:33" s="434" customFormat="1">
      <c r="B244" s="493" t="str">
        <f>IF(AND(Validator!G238=TRUE,Validator!G488=TRUE,Validator!G738=TRUE,Validator!G988=TRUE,Validator!G1238=TRUE,Validator!G1488=TRUE),"Valid","Invalid")</f>
        <v>Valid</v>
      </c>
      <c r="C244" s="144"/>
      <c r="D244" s="478"/>
      <c r="E244" s="479"/>
      <c r="F244" s="580"/>
      <c r="G244" s="480"/>
      <c r="H244" s="580"/>
      <c r="I244" s="483"/>
      <c r="J244" s="146"/>
      <c r="K244" s="297"/>
      <c r="L244" s="541"/>
      <c r="M244" s="469"/>
      <c r="N244" s="262"/>
      <c r="O244" s="348" t="s">
        <v>280</v>
      </c>
      <c r="P244" s="349" t="s">
        <v>79</v>
      </c>
      <c r="Q244" s="476"/>
      <c r="R244" s="467"/>
      <c r="S244" s="467"/>
      <c r="T244" s="476"/>
      <c r="U244" s="490" t="str">
        <f>IF(ISERROR(VLOOKUP($T244, 'Reference data'!$J$2:$K$139, 2, FALSE)),"-",VLOOKUP($T244, 'Reference data'!$J$2:$K$139, 2, FALSE))</f>
        <v>-</v>
      </c>
      <c r="V244" s="147"/>
      <c r="W244" s="147"/>
      <c r="X244" s="471"/>
      <c r="Y244" s="472"/>
      <c r="Z244" s="144"/>
      <c r="AA244" s="508"/>
      <c r="AB244" s="163"/>
      <c r="AC244" s="148"/>
      <c r="AD244" s="480"/>
      <c r="AE244" s="348" t="s">
        <v>280</v>
      </c>
      <c r="AF244" s="354" t="s">
        <v>79</v>
      </c>
      <c r="AG244" s="484"/>
    </row>
    <row r="245" spans="2:33" s="434" customFormat="1">
      <c r="B245" s="493" t="str">
        <f>IF(AND(Validator!G239=TRUE,Validator!G489=TRUE,Validator!G739=TRUE,Validator!G989=TRUE,Validator!G1239=TRUE,Validator!G1489=TRUE),"Valid","Invalid")</f>
        <v>Valid</v>
      </c>
      <c r="C245" s="144"/>
      <c r="D245" s="478"/>
      <c r="E245" s="479"/>
      <c r="F245" s="580"/>
      <c r="G245" s="480"/>
      <c r="H245" s="580"/>
      <c r="I245" s="483"/>
      <c r="J245" s="146"/>
      <c r="K245" s="297"/>
      <c r="L245" s="541"/>
      <c r="M245" s="469"/>
      <c r="N245" s="262"/>
      <c r="O245" s="348" t="s">
        <v>280</v>
      </c>
      <c r="P245" s="349" t="s">
        <v>79</v>
      </c>
      <c r="Q245" s="476"/>
      <c r="R245" s="467"/>
      <c r="S245" s="467"/>
      <c r="T245" s="476"/>
      <c r="U245" s="490" t="str">
        <f>IF(ISERROR(VLOOKUP($T245, 'Reference data'!$J$2:$K$139, 2, FALSE)),"-",VLOOKUP($T245, 'Reference data'!$J$2:$K$139, 2, FALSE))</f>
        <v>-</v>
      </c>
      <c r="V245" s="147"/>
      <c r="W245" s="147"/>
      <c r="X245" s="471"/>
      <c r="Y245" s="472"/>
      <c r="Z245" s="144"/>
      <c r="AA245" s="508"/>
      <c r="AB245" s="163"/>
      <c r="AC245" s="148"/>
      <c r="AD245" s="480"/>
      <c r="AE245" s="348" t="s">
        <v>280</v>
      </c>
      <c r="AF245" s="354" t="s">
        <v>79</v>
      </c>
      <c r="AG245" s="484"/>
    </row>
    <row r="246" spans="2:33" s="434" customFormat="1">
      <c r="B246" s="493" t="str">
        <f>IF(AND(Validator!G240=TRUE,Validator!G490=TRUE,Validator!G740=TRUE,Validator!G990=TRUE,Validator!G1240=TRUE,Validator!G1490=TRUE),"Valid","Invalid")</f>
        <v>Valid</v>
      </c>
      <c r="C246" s="144"/>
      <c r="D246" s="478"/>
      <c r="E246" s="479"/>
      <c r="F246" s="580"/>
      <c r="G246" s="480"/>
      <c r="H246" s="580"/>
      <c r="I246" s="483"/>
      <c r="J246" s="146"/>
      <c r="K246" s="297"/>
      <c r="L246" s="541"/>
      <c r="M246" s="469"/>
      <c r="N246" s="262"/>
      <c r="O246" s="348" t="s">
        <v>280</v>
      </c>
      <c r="P246" s="349" t="s">
        <v>79</v>
      </c>
      <c r="Q246" s="476"/>
      <c r="R246" s="467"/>
      <c r="S246" s="467"/>
      <c r="T246" s="476"/>
      <c r="U246" s="490" t="str">
        <f>IF(ISERROR(VLOOKUP($T246, 'Reference data'!$J$2:$K$139, 2, FALSE)),"-",VLOOKUP($T246, 'Reference data'!$J$2:$K$139, 2, FALSE))</f>
        <v>-</v>
      </c>
      <c r="V246" s="147"/>
      <c r="W246" s="147"/>
      <c r="X246" s="471"/>
      <c r="Y246" s="472"/>
      <c r="Z246" s="144"/>
      <c r="AA246" s="508"/>
      <c r="AB246" s="163"/>
      <c r="AC246" s="148"/>
      <c r="AD246" s="480"/>
      <c r="AE246" s="348" t="s">
        <v>280</v>
      </c>
      <c r="AF246" s="354" t="s">
        <v>79</v>
      </c>
      <c r="AG246" s="484"/>
    </row>
    <row r="247" spans="2:33" s="434" customFormat="1">
      <c r="B247" s="493" t="str">
        <f>IF(AND(Validator!G241=TRUE,Validator!G491=TRUE,Validator!G741=TRUE,Validator!G991=TRUE,Validator!G1241=TRUE,Validator!G1491=TRUE),"Valid","Invalid")</f>
        <v>Valid</v>
      </c>
      <c r="C247" s="144"/>
      <c r="D247" s="478"/>
      <c r="E247" s="479"/>
      <c r="F247" s="580"/>
      <c r="G247" s="480"/>
      <c r="H247" s="580"/>
      <c r="I247" s="483"/>
      <c r="J247" s="146"/>
      <c r="K247" s="297"/>
      <c r="L247" s="541"/>
      <c r="M247" s="469"/>
      <c r="N247" s="262"/>
      <c r="O247" s="348" t="s">
        <v>280</v>
      </c>
      <c r="P247" s="349" t="s">
        <v>79</v>
      </c>
      <c r="Q247" s="476"/>
      <c r="R247" s="467"/>
      <c r="S247" s="467"/>
      <c r="T247" s="476"/>
      <c r="U247" s="490" t="str">
        <f>IF(ISERROR(VLOOKUP($T247, 'Reference data'!$J$2:$K$139, 2, FALSE)),"-",VLOOKUP($T247, 'Reference data'!$J$2:$K$139, 2, FALSE))</f>
        <v>-</v>
      </c>
      <c r="V247" s="147"/>
      <c r="W247" s="147"/>
      <c r="X247" s="471"/>
      <c r="Y247" s="472"/>
      <c r="Z247" s="144"/>
      <c r="AA247" s="508"/>
      <c r="AB247" s="163"/>
      <c r="AC247" s="148"/>
      <c r="AD247" s="480"/>
      <c r="AE247" s="348" t="s">
        <v>280</v>
      </c>
      <c r="AF247" s="354" t="s">
        <v>79</v>
      </c>
      <c r="AG247" s="484"/>
    </row>
    <row r="248" spans="2:33" s="434" customFormat="1">
      <c r="B248" s="493" t="str">
        <f>IF(AND(Validator!G242=TRUE,Validator!G492=TRUE,Validator!G742=TRUE,Validator!G992=TRUE,Validator!G1242=TRUE,Validator!G1492=TRUE),"Valid","Invalid")</f>
        <v>Valid</v>
      </c>
      <c r="C248" s="144"/>
      <c r="D248" s="478"/>
      <c r="E248" s="479"/>
      <c r="F248" s="580"/>
      <c r="G248" s="480"/>
      <c r="H248" s="580"/>
      <c r="I248" s="483"/>
      <c r="J248" s="146"/>
      <c r="K248" s="297"/>
      <c r="L248" s="541"/>
      <c r="M248" s="469"/>
      <c r="N248" s="262"/>
      <c r="O248" s="348" t="s">
        <v>280</v>
      </c>
      <c r="P248" s="349" t="s">
        <v>79</v>
      </c>
      <c r="Q248" s="476"/>
      <c r="R248" s="467"/>
      <c r="S248" s="467"/>
      <c r="T248" s="476"/>
      <c r="U248" s="490" t="str">
        <f>IF(ISERROR(VLOOKUP($T248, 'Reference data'!$J$2:$K$139, 2, FALSE)),"-",VLOOKUP($T248, 'Reference data'!$J$2:$K$139, 2, FALSE))</f>
        <v>-</v>
      </c>
      <c r="V248" s="147"/>
      <c r="W248" s="147"/>
      <c r="X248" s="471"/>
      <c r="Y248" s="472"/>
      <c r="Z248" s="144"/>
      <c r="AA248" s="508"/>
      <c r="AB248" s="163"/>
      <c r="AC248" s="148"/>
      <c r="AD248" s="480"/>
      <c r="AE248" s="348" t="s">
        <v>280</v>
      </c>
      <c r="AF248" s="354" t="s">
        <v>79</v>
      </c>
      <c r="AG248" s="484"/>
    </row>
    <row r="249" spans="2:33" s="434" customFormat="1">
      <c r="B249" s="493" t="str">
        <f>IF(AND(Validator!G243=TRUE,Validator!G493=TRUE,Validator!G743=TRUE,Validator!G993=TRUE,Validator!G1243=TRUE,Validator!G1493=TRUE),"Valid","Invalid")</f>
        <v>Valid</v>
      </c>
      <c r="C249" s="144"/>
      <c r="D249" s="478"/>
      <c r="E249" s="479"/>
      <c r="F249" s="580"/>
      <c r="G249" s="480"/>
      <c r="H249" s="580"/>
      <c r="I249" s="483"/>
      <c r="J249" s="146"/>
      <c r="K249" s="297"/>
      <c r="L249" s="541"/>
      <c r="M249" s="469"/>
      <c r="N249" s="262"/>
      <c r="O249" s="348" t="s">
        <v>280</v>
      </c>
      <c r="P249" s="349" t="s">
        <v>79</v>
      </c>
      <c r="Q249" s="476"/>
      <c r="R249" s="467"/>
      <c r="S249" s="467"/>
      <c r="T249" s="476"/>
      <c r="U249" s="490" t="str">
        <f>IF(ISERROR(VLOOKUP($T249, 'Reference data'!$J$2:$K$139, 2, FALSE)),"-",VLOOKUP($T249, 'Reference data'!$J$2:$K$139, 2, FALSE))</f>
        <v>-</v>
      </c>
      <c r="V249" s="147"/>
      <c r="W249" s="147"/>
      <c r="X249" s="471"/>
      <c r="Y249" s="472"/>
      <c r="Z249" s="144"/>
      <c r="AA249" s="508"/>
      <c r="AB249" s="163"/>
      <c r="AC249" s="148"/>
      <c r="AD249" s="480"/>
      <c r="AE249" s="348" t="s">
        <v>280</v>
      </c>
      <c r="AF249" s="354" t="s">
        <v>79</v>
      </c>
      <c r="AG249" s="484"/>
    </row>
    <row r="250" spans="2:33" s="434" customFormat="1">
      <c r="B250" s="493" t="str">
        <f>IF(AND(Validator!G244=TRUE,Validator!G494=TRUE,Validator!G744=TRUE,Validator!G994=TRUE,Validator!G1244=TRUE,Validator!G1494=TRUE),"Valid","Invalid")</f>
        <v>Valid</v>
      </c>
      <c r="C250" s="144"/>
      <c r="D250" s="478"/>
      <c r="E250" s="479"/>
      <c r="F250" s="580"/>
      <c r="G250" s="480"/>
      <c r="H250" s="580"/>
      <c r="I250" s="483"/>
      <c r="J250" s="146"/>
      <c r="K250" s="297"/>
      <c r="L250" s="541"/>
      <c r="M250" s="469"/>
      <c r="N250" s="262"/>
      <c r="O250" s="348" t="s">
        <v>280</v>
      </c>
      <c r="P250" s="349" t="s">
        <v>79</v>
      </c>
      <c r="Q250" s="476"/>
      <c r="R250" s="467"/>
      <c r="S250" s="467"/>
      <c r="T250" s="476"/>
      <c r="U250" s="490" t="str">
        <f>IF(ISERROR(VLOOKUP($T250, 'Reference data'!$J$2:$K$139, 2, FALSE)),"-",VLOOKUP($T250, 'Reference data'!$J$2:$K$139, 2, FALSE))</f>
        <v>-</v>
      </c>
      <c r="V250" s="147"/>
      <c r="W250" s="147"/>
      <c r="X250" s="471"/>
      <c r="Y250" s="472"/>
      <c r="Z250" s="144"/>
      <c r="AA250" s="508"/>
      <c r="AB250" s="163"/>
      <c r="AC250" s="148"/>
      <c r="AD250" s="480"/>
      <c r="AE250" s="348" t="s">
        <v>280</v>
      </c>
      <c r="AF250" s="354" t="s">
        <v>79</v>
      </c>
      <c r="AG250" s="484"/>
    </row>
    <row r="251" spans="2:33" s="434" customFormat="1">
      <c r="B251" s="493" t="str">
        <f>IF(AND(Validator!G245=TRUE,Validator!G495=TRUE,Validator!G745=TRUE,Validator!G995=TRUE,Validator!G1245=TRUE,Validator!G1495=TRUE),"Valid","Invalid")</f>
        <v>Valid</v>
      </c>
      <c r="C251" s="144"/>
      <c r="D251" s="478"/>
      <c r="E251" s="479"/>
      <c r="F251" s="580"/>
      <c r="G251" s="480"/>
      <c r="H251" s="580"/>
      <c r="I251" s="483"/>
      <c r="J251" s="146"/>
      <c r="K251" s="297"/>
      <c r="L251" s="541"/>
      <c r="M251" s="469"/>
      <c r="N251" s="262"/>
      <c r="O251" s="348" t="s">
        <v>280</v>
      </c>
      <c r="P251" s="349" t="s">
        <v>79</v>
      </c>
      <c r="Q251" s="476"/>
      <c r="R251" s="467"/>
      <c r="S251" s="467"/>
      <c r="T251" s="476"/>
      <c r="U251" s="490" t="str">
        <f>IF(ISERROR(VLOOKUP($T251, 'Reference data'!$J$2:$K$139, 2, FALSE)),"-",VLOOKUP($T251, 'Reference data'!$J$2:$K$139, 2, FALSE))</f>
        <v>-</v>
      </c>
      <c r="V251" s="147"/>
      <c r="W251" s="147"/>
      <c r="X251" s="471"/>
      <c r="Y251" s="472"/>
      <c r="Z251" s="144"/>
      <c r="AA251" s="508"/>
      <c r="AB251" s="163"/>
      <c r="AC251" s="148"/>
      <c r="AD251" s="480"/>
      <c r="AE251" s="348" t="s">
        <v>280</v>
      </c>
      <c r="AF251" s="354" t="s">
        <v>79</v>
      </c>
      <c r="AG251" s="484"/>
    </row>
    <row r="252" spans="2:33" s="434" customFormat="1">
      <c r="B252" s="493" t="str">
        <f>IF(AND(Validator!G246=TRUE,Validator!G496=TRUE,Validator!G746=TRUE,Validator!G996=TRUE,Validator!G1246=TRUE,Validator!G1496=TRUE),"Valid","Invalid")</f>
        <v>Valid</v>
      </c>
      <c r="C252" s="144"/>
      <c r="D252" s="478"/>
      <c r="E252" s="479"/>
      <c r="F252" s="580"/>
      <c r="G252" s="480"/>
      <c r="H252" s="580"/>
      <c r="I252" s="483"/>
      <c r="J252" s="146"/>
      <c r="K252" s="297"/>
      <c r="L252" s="541"/>
      <c r="M252" s="469"/>
      <c r="N252" s="262"/>
      <c r="O252" s="348" t="s">
        <v>280</v>
      </c>
      <c r="P252" s="349" t="s">
        <v>79</v>
      </c>
      <c r="Q252" s="476"/>
      <c r="R252" s="467"/>
      <c r="S252" s="467"/>
      <c r="T252" s="476"/>
      <c r="U252" s="490" t="str">
        <f>IF(ISERROR(VLOOKUP($T252, 'Reference data'!$J$2:$K$139, 2, FALSE)),"-",VLOOKUP($T252, 'Reference data'!$J$2:$K$139, 2, FALSE))</f>
        <v>-</v>
      </c>
      <c r="V252" s="147"/>
      <c r="W252" s="147"/>
      <c r="X252" s="471"/>
      <c r="Y252" s="472"/>
      <c r="Z252" s="144"/>
      <c r="AA252" s="508"/>
      <c r="AB252" s="163"/>
      <c r="AC252" s="148"/>
      <c r="AD252" s="480"/>
      <c r="AE252" s="348" t="s">
        <v>280</v>
      </c>
      <c r="AF252" s="354" t="s">
        <v>79</v>
      </c>
      <c r="AG252" s="484"/>
    </row>
    <row r="253" spans="2:33" s="434" customFormat="1">
      <c r="B253" s="493" t="str">
        <f>IF(AND(Validator!G247=TRUE,Validator!G497=TRUE,Validator!G747=TRUE,Validator!G997=TRUE,Validator!G1247=TRUE,Validator!G1497=TRUE),"Valid","Invalid")</f>
        <v>Valid</v>
      </c>
      <c r="C253" s="144"/>
      <c r="D253" s="478"/>
      <c r="E253" s="479"/>
      <c r="F253" s="580"/>
      <c r="G253" s="480"/>
      <c r="H253" s="580"/>
      <c r="I253" s="483"/>
      <c r="J253" s="146"/>
      <c r="K253" s="297"/>
      <c r="L253" s="541"/>
      <c r="M253" s="469"/>
      <c r="N253" s="262"/>
      <c r="O253" s="348" t="s">
        <v>280</v>
      </c>
      <c r="P253" s="349" t="s">
        <v>79</v>
      </c>
      <c r="Q253" s="476"/>
      <c r="R253" s="467"/>
      <c r="S253" s="467"/>
      <c r="T253" s="476"/>
      <c r="U253" s="490" t="str">
        <f>IF(ISERROR(VLOOKUP($T253, 'Reference data'!$J$2:$K$139, 2, FALSE)),"-",VLOOKUP($T253, 'Reference data'!$J$2:$K$139, 2, FALSE))</f>
        <v>-</v>
      </c>
      <c r="V253" s="147"/>
      <c r="W253" s="147"/>
      <c r="X253" s="471"/>
      <c r="Y253" s="472"/>
      <c r="Z253" s="144"/>
      <c r="AA253" s="508"/>
      <c r="AB253" s="163"/>
      <c r="AC253" s="148"/>
      <c r="AD253" s="480"/>
      <c r="AE253" s="348" t="s">
        <v>280</v>
      </c>
      <c r="AF253" s="354" t="s">
        <v>79</v>
      </c>
      <c r="AG253" s="484"/>
    </row>
    <row r="254" spans="2:33" s="434" customFormat="1">
      <c r="B254" s="493" t="str">
        <f>IF(AND(Validator!G248=TRUE,Validator!G498=TRUE,Validator!G748=TRUE,Validator!G998=TRUE,Validator!G1248=TRUE,Validator!G1498=TRUE),"Valid","Invalid")</f>
        <v>Valid</v>
      </c>
      <c r="C254" s="144"/>
      <c r="D254" s="478"/>
      <c r="E254" s="479"/>
      <c r="F254" s="580"/>
      <c r="G254" s="480"/>
      <c r="H254" s="580"/>
      <c r="I254" s="483"/>
      <c r="J254" s="146"/>
      <c r="K254" s="297"/>
      <c r="L254" s="541"/>
      <c r="M254" s="469"/>
      <c r="N254" s="262"/>
      <c r="O254" s="348" t="s">
        <v>280</v>
      </c>
      <c r="P254" s="349" t="s">
        <v>79</v>
      </c>
      <c r="Q254" s="476"/>
      <c r="R254" s="467"/>
      <c r="S254" s="467"/>
      <c r="T254" s="476"/>
      <c r="U254" s="490" t="str">
        <f>IF(ISERROR(VLOOKUP($T254, 'Reference data'!$J$2:$K$139, 2, FALSE)),"-",VLOOKUP($T254, 'Reference data'!$J$2:$K$139, 2, FALSE))</f>
        <v>-</v>
      </c>
      <c r="V254" s="147"/>
      <c r="W254" s="147"/>
      <c r="X254" s="471"/>
      <c r="Y254" s="472"/>
      <c r="Z254" s="144"/>
      <c r="AA254" s="508"/>
      <c r="AB254" s="163"/>
      <c r="AC254" s="148"/>
      <c r="AD254" s="480"/>
      <c r="AE254" s="348" t="s">
        <v>280</v>
      </c>
      <c r="AF254" s="354" t="s">
        <v>79</v>
      </c>
      <c r="AG254" s="484"/>
    </row>
    <row r="255" spans="2:33" s="434" customFormat="1">
      <c r="B255" s="493" t="str">
        <f>IF(AND(Validator!G249=TRUE,Validator!G499=TRUE,Validator!G749=TRUE,Validator!G999=TRUE,Validator!G1249=TRUE,Validator!G1499=TRUE),"Valid","Invalid")</f>
        <v>Valid</v>
      </c>
      <c r="C255" s="144"/>
      <c r="D255" s="478"/>
      <c r="E255" s="479"/>
      <c r="F255" s="580"/>
      <c r="G255" s="480"/>
      <c r="H255" s="580"/>
      <c r="I255" s="483"/>
      <c r="J255" s="146"/>
      <c r="K255" s="297"/>
      <c r="L255" s="541"/>
      <c r="M255" s="469"/>
      <c r="N255" s="262"/>
      <c r="O255" s="348" t="s">
        <v>280</v>
      </c>
      <c r="P255" s="349" t="s">
        <v>79</v>
      </c>
      <c r="Q255" s="476"/>
      <c r="R255" s="467"/>
      <c r="S255" s="467"/>
      <c r="T255" s="476"/>
      <c r="U255" s="490" t="str">
        <f>IF(ISERROR(VLOOKUP($T255, 'Reference data'!$J$2:$K$139, 2, FALSE)),"-",VLOOKUP($T255, 'Reference data'!$J$2:$K$139, 2, FALSE))</f>
        <v>-</v>
      </c>
      <c r="V255" s="147"/>
      <c r="W255" s="147"/>
      <c r="X255" s="471"/>
      <c r="Y255" s="472"/>
      <c r="Z255" s="144"/>
      <c r="AA255" s="508"/>
      <c r="AB255" s="163"/>
      <c r="AC255" s="148"/>
      <c r="AD255" s="480"/>
      <c r="AE255" s="348" t="s">
        <v>280</v>
      </c>
      <c r="AF255" s="354" t="s">
        <v>79</v>
      </c>
      <c r="AG255" s="484"/>
    </row>
    <row r="256" spans="2:33" s="434" customFormat="1">
      <c r="B256" s="493" t="str">
        <f>IF(AND(Validator!G250=TRUE,Validator!G500=TRUE,Validator!G750=TRUE,Validator!G1000=TRUE,Validator!G1250=TRUE,Validator!G1500=TRUE),"Valid","Invalid")</f>
        <v>Valid</v>
      </c>
      <c r="C256" s="144"/>
      <c r="D256" s="478"/>
      <c r="E256" s="479"/>
      <c r="F256" s="580"/>
      <c r="G256" s="480"/>
      <c r="H256" s="580"/>
      <c r="I256" s="483"/>
      <c r="J256" s="146"/>
      <c r="K256" s="297"/>
      <c r="L256" s="541"/>
      <c r="M256" s="469"/>
      <c r="N256" s="262"/>
      <c r="O256" s="348" t="s">
        <v>280</v>
      </c>
      <c r="P256" s="349" t="s">
        <v>79</v>
      </c>
      <c r="Q256" s="476"/>
      <c r="R256" s="467"/>
      <c r="S256" s="467"/>
      <c r="T256" s="476"/>
      <c r="U256" s="490" t="str">
        <f>IF(ISERROR(VLOOKUP($T256, 'Reference data'!$J$2:$K$139, 2, FALSE)),"-",VLOOKUP($T256, 'Reference data'!$J$2:$K$139, 2, FALSE))</f>
        <v>-</v>
      </c>
      <c r="V256" s="147"/>
      <c r="W256" s="147"/>
      <c r="X256" s="471"/>
      <c r="Y256" s="472"/>
      <c r="Z256" s="144"/>
      <c r="AA256" s="508"/>
      <c r="AB256" s="163"/>
      <c r="AC256" s="148"/>
      <c r="AD256" s="480"/>
      <c r="AE256" s="348" t="s">
        <v>280</v>
      </c>
      <c r="AF256" s="354" t="s">
        <v>79</v>
      </c>
      <c r="AG256" s="484"/>
    </row>
    <row r="257" spans="2:33" s="434" customFormat="1">
      <c r="B257" s="493" t="str">
        <f>IF(AND(Validator!G251=TRUE,Validator!G501=TRUE,Validator!G751=TRUE,Validator!G1001=TRUE,Validator!G1251=TRUE,Validator!G1501=TRUE),"Valid","Invalid")</f>
        <v>Valid</v>
      </c>
      <c r="C257" s="144"/>
      <c r="D257" s="478"/>
      <c r="E257" s="479"/>
      <c r="F257" s="580"/>
      <c r="G257" s="480"/>
      <c r="H257" s="580"/>
      <c r="I257" s="483"/>
      <c r="J257" s="146"/>
      <c r="K257" s="297"/>
      <c r="L257" s="541"/>
      <c r="M257" s="469"/>
      <c r="N257" s="262"/>
      <c r="O257" s="348" t="s">
        <v>280</v>
      </c>
      <c r="P257" s="349" t="s">
        <v>79</v>
      </c>
      <c r="Q257" s="476"/>
      <c r="R257" s="467"/>
      <c r="S257" s="467"/>
      <c r="T257" s="476"/>
      <c r="U257" s="490" t="str">
        <f>IF(ISERROR(VLOOKUP($T257, 'Reference data'!$J$2:$K$139, 2, FALSE)),"-",VLOOKUP($T257, 'Reference data'!$J$2:$K$139, 2, FALSE))</f>
        <v>-</v>
      </c>
      <c r="V257" s="147"/>
      <c r="W257" s="147"/>
      <c r="X257" s="471"/>
      <c r="Y257" s="472"/>
      <c r="Z257" s="144"/>
      <c r="AA257" s="508"/>
      <c r="AB257" s="163"/>
      <c r="AC257" s="148"/>
      <c r="AD257" s="480"/>
      <c r="AE257" s="348" t="s">
        <v>280</v>
      </c>
      <c r="AF257" s="354" t="s">
        <v>79</v>
      </c>
      <c r="AG257" s="484"/>
    </row>
    <row r="258" spans="2:33" s="434" customFormat="1">
      <c r="B258" s="493" t="str">
        <f>IF(AND(Validator!G252=TRUE,Validator!G502=TRUE,Validator!G752=TRUE,Validator!G1002=TRUE,Validator!G1252=TRUE,Validator!G1502=TRUE),"Valid","Invalid")</f>
        <v>Valid</v>
      </c>
      <c r="C258" s="144"/>
      <c r="D258" s="478"/>
      <c r="E258" s="479"/>
      <c r="F258" s="580"/>
      <c r="G258" s="480"/>
      <c r="H258" s="580"/>
      <c r="I258" s="483"/>
      <c r="J258" s="146"/>
      <c r="K258" s="297"/>
      <c r="L258" s="541"/>
      <c r="M258" s="469"/>
      <c r="N258" s="262"/>
      <c r="O258" s="348" t="s">
        <v>280</v>
      </c>
      <c r="P258" s="349" t="s">
        <v>79</v>
      </c>
      <c r="Q258" s="476"/>
      <c r="R258" s="467"/>
      <c r="S258" s="467"/>
      <c r="T258" s="476"/>
      <c r="U258" s="490" t="str">
        <f>IF(ISERROR(VLOOKUP($T258, 'Reference data'!$J$2:$K$139, 2, FALSE)),"-",VLOOKUP($T258, 'Reference data'!$J$2:$K$139, 2, FALSE))</f>
        <v>-</v>
      </c>
      <c r="V258" s="147"/>
      <c r="W258" s="147"/>
      <c r="X258" s="471"/>
      <c r="Y258" s="472"/>
      <c r="Z258" s="144"/>
      <c r="AA258" s="508"/>
      <c r="AB258" s="163"/>
      <c r="AC258" s="148"/>
      <c r="AD258" s="480"/>
      <c r="AE258" s="348" t="s">
        <v>280</v>
      </c>
      <c r="AF258" s="354" t="s">
        <v>79</v>
      </c>
      <c r="AG258" s="484"/>
    </row>
    <row r="259" spans="2:33" s="434" customFormat="1">
      <c r="B259" s="493" t="str">
        <f>IF(AND(Validator!G253=TRUE,Validator!G503=TRUE,Validator!G753=TRUE,Validator!G1003=TRUE,Validator!G1253=TRUE,Validator!G1503=TRUE),"Valid","Invalid")</f>
        <v>Valid</v>
      </c>
      <c r="C259" s="144"/>
      <c r="D259" s="478"/>
      <c r="E259" s="479"/>
      <c r="F259" s="580"/>
      <c r="G259" s="480"/>
      <c r="H259" s="580"/>
      <c r="I259" s="483"/>
      <c r="J259" s="146"/>
      <c r="K259" s="297"/>
      <c r="L259" s="541"/>
      <c r="M259" s="469"/>
      <c r="N259" s="262"/>
      <c r="O259" s="348" t="s">
        <v>280</v>
      </c>
      <c r="P259" s="349" t="s">
        <v>79</v>
      </c>
      <c r="Q259" s="476"/>
      <c r="R259" s="467"/>
      <c r="S259" s="467"/>
      <c r="T259" s="476"/>
      <c r="U259" s="490" t="str">
        <f>IF(ISERROR(VLOOKUP($T259, 'Reference data'!$J$2:$K$139, 2, FALSE)),"-",VLOOKUP($T259, 'Reference data'!$J$2:$K$139, 2, FALSE))</f>
        <v>-</v>
      </c>
      <c r="V259" s="147"/>
      <c r="W259" s="147"/>
      <c r="X259" s="471"/>
      <c r="Y259" s="472"/>
      <c r="Z259" s="144"/>
      <c r="AA259" s="508"/>
      <c r="AB259" s="163"/>
      <c r="AC259" s="148"/>
      <c r="AD259" s="480"/>
      <c r="AE259" s="348" t="s">
        <v>280</v>
      </c>
      <c r="AF259" s="354" t="s">
        <v>79</v>
      </c>
      <c r="AG259" s="484"/>
    </row>
    <row r="260" spans="2:33" s="434" customFormat="1">
      <c r="B260" s="493" t="str">
        <f>IF(AND(Validator!G254=TRUE,Validator!G504=TRUE,Validator!G754=TRUE,Validator!G1004=TRUE,Validator!G1254=TRUE,Validator!G1504=TRUE),"Valid","Invalid")</f>
        <v>Valid</v>
      </c>
      <c r="C260" s="144"/>
      <c r="D260" s="478"/>
      <c r="E260" s="479"/>
      <c r="F260" s="580"/>
      <c r="G260" s="480"/>
      <c r="H260" s="580"/>
      <c r="I260" s="483"/>
      <c r="J260" s="146"/>
      <c r="K260" s="297"/>
      <c r="L260" s="541"/>
      <c r="M260" s="469"/>
      <c r="N260" s="262"/>
      <c r="O260" s="348" t="s">
        <v>280</v>
      </c>
      <c r="P260" s="349" t="s">
        <v>79</v>
      </c>
      <c r="Q260" s="476"/>
      <c r="R260" s="467"/>
      <c r="S260" s="467"/>
      <c r="T260" s="476"/>
      <c r="U260" s="490" t="str">
        <f>IF(ISERROR(VLOOKUP($T260, 'Reference data'!$J$2:$K$139, 2, FALSE)),"-",VLOOKUP($T260, 'Reference data'!$J$2:$K$139, 2, FALSE))</f>
        <v>-</v>
      </c>
      <c r="V260" s="147"/>
      <c r="W260" s="147"/>
      <c r="X260" s="471"/>
      <c r="Y260" s="472"/>
      <c r="Z260" s="144"/>
      <c r="AA260" s="508"/>
      <c r="AB260" s="163"/>
      <c r="AC260" s="148"/>
      <c r="AD260" s="480"/>
      <c r="AE260" s="348" t="s">
        <v>280</v>
      </c>
      <c r="AF260" s="354" t="s">
        <v>79</v>
      </c>
      <c r="AG260" s="484"/>
    </row>
    <row r="261" spans="2:33" s="434" customFormat="1">
      <c r="B261" s="493" t="str">
        <f>IF(AND(Validator!G255=TRUE,Validator!G505=TRUE,Validator!G755=TRUE,Validator!G1005=TRUE,Validator!G1255=TRUE,Validator!G1505=TRUE),"Valid","Invalid")</f>
        <v>Valid</v>
      </c>
      <c r="C261" s="144"/>
      <c r="D261" s="478"/>
      <c r="E261" s="479"/>
      <c r="F261" s="580"/>
      <c r="G261" s="480"/>
      <c r="H261" s="580"/>
      <c r="I261" s="483"/>
      <c r="J261" s="146"/>
      <c r="K261" s="297"/>
      <c r="L261" s="541"/>
      <c r="M261" s="469"/>
      <c r="N261" s="262"/>
      <c r="O261" s="348" t="s">
        <v>280</v>
      </c>
      <c r="P261" s="349" t="s">
        <v>79</v>
      </c>
      <c r="Q261" s="476"/>
      <c r="R261" s="467"/>
      <c r="S261" s="467"/>
      <c r="T261" s="476"/>
      <c r="U261" s="490" t="str">
        <f>IF(ISERROR(VLOOKUP($T261, 'Reference data'!$J$2:$K$139, 2, FALSE)),"-",VLOOKUP($T261, 'Reference data'!$J$2:$K$139, 2, FALSE))</f>
        <v>-</v>
      </c>
      <c r="V261" s="147"/>
      <c r="W261" s="147"/>
      <c r="X261" s="471"/>
      <c r="Y261" s="472"/>
      <c r="Z261" s="144"/>
      <c r="AA261" s="508"/>
      <c r="AB261" s="163"/>
      <c r="AC261" s="148"/>
      <c r="AD261" s="480"/>
      <c r="AE261" s="348" t="s">
        <v>280</v>
      </c>
      <c r="AF261" s="354" t="s">
        <v>79</v>
      </c>
      <c r="AG261" s="484"/>
    </row>
    <row r="262" spans="2:33" s="434" customFormat="1">
      <c r="B262" s="493" t="str">
        <f>IF(AND(Validator!G256=TRUE,Validator!G506=TRUE,Validator!G756=TRUE,Validator!G1006=TRUE,Validator!G1256=TRUE,Validator!G1506=TRUE),"Valid","Invalid")</f>
        <v>Valid</v>
      </c>
      <c r="C262" s="144"/>
      <c r="D262" s="478"/>
      <c r="E262" s="479"/>
      <c r="F262" s="580"/>
      <c r="G262" s="480"/>
      <c r="H262" s="580"/>
      <c r="I262" s="483"/>
      <c r="J262" s="146"/>
      <c r="K262" s="297"/>
      <c r="L262" s="541"/>
      <c r="M262" s="469"/>
      <c r="N262" s="262"/>
      <c r="O262" s="348" t="s">
        <v>280</v>
      </c>
      <c r="P262" s="349" t="s">
        <v>79</v>
      </c>
      <c r="Q262" s="476"/>
      <c r="R262" s="467"/>
      <c r="S262" s="467"/>
      <c r="T262" s="476"/>
      <c r="U262" s="490" t="str">
        <f>IF(ISERROR(VLOOKUP($T262, 'Reference data'!$J$2:$K$139, 2, FALSE)),"-",VLOOKUP($T262, 'Reference data'!$J$2:$K$139, 2, FALSE))</f>
        <v>-</v>
      </c>
      <c r="V262" s="147"/>
      <c r="W262" s="147"/>
      <c r="X262" s="471"/>
      <c r="Y262" s="472"/>
      <c r="Z262" s="144"/>
      <c r="AA262" s="508"/>
      <c r="AB262" s="163"/>
      <c r="AC262" s="148"/>
      <c r="AD262" s="480"/>
      <c r="AE262" s="348" t="s">
        <v>280</v>
      </c>
      <c r="AF262" s="354" t="s">
        <v>79</v>
      </c>
      <c r="AG262" s="484"/>
    </row>
    <row r="263" spans="2:33" s="434" customFormat="1" ht="13.8" thickBot="1">
      <c r="B263" s="494" t="str">
        <f>IF(AND(Validator!G257=TRUE,Validator!G507=TRUE,Validator!G757=TRUE,Validator!G1007=TRUE,Validator!G1257=TRUE,Validator!G1507=TRUE),"Valid","Invalid")</f>
        <v>Valid</v>
      </c>
      <c r="C263" s="149"/>
      <c r="D263" s="485"/>
      <c r="E263" s="486"/>
      <c r="F263" s="580"/>
      <c r="G263" s="487"/>
      <c r="H263" s="580"/>
      <c r="I263" s="488"/>
      <c r="J263" s="489"/>
      <c r="K263" s="299"/>
      <c r="L263" s="542"/>
      <c r="M263" s="470"/>
      <c r="N263" s="263"/>
      <c r="O263" s="350" t="s">
        <v>280</v>
      </c>
      <c r="P263" s="351" t="s">
        <v>79</v>
      </c>
      <c r="Q263" s="477"/>
      <c r="R263" s="468"/>
      <c r="S263" s="468"/>
      <c r="T263" s="477"/>
      <c r="U263" s="491" t="str">
        <f>IF(ISERROR(VLOOKUP($T263, 'Reference data'!$J$2:$K$139, 2, FALSE)),"-",VLOOKUP($T263, 'Reference data'!$J$2:$K$139, 2, FALSE))</f>
        <v>-</v>
      </c>
      <c r="V263" s="152"/>
      <c r="W263" s="152"/>
      <c r="X263" s="473"/>
      <c r="Y263" s="474"/>
      <c r="Z263" s="149"/>
      <c r="AA263" s="509"/>
      <c r="AB263" s="164"/>
      <c r="AC263" s="153"/>
      <c r="AD263" s="153"/>
      <c r="AE263" s="350" t="s">
        <v>280</v>
      </c>
      <c r="AF263" s="355" t="s">
        <v>79</v>
      </c>
      <c r="AG263" s="484"/>
    </row>
    <row r="264" spans="2:33" ht="13.8" thickTop="1"/>
    <row r="265" spans="2:33" hidden="1">
      <c r="B265" s="165" t="s">
        <v>2407</v>
      </c>
      <c r="C265" s="587" t="s">
        <v>2436</v>
      </c>
    </row>
  </sheetData>
  <sheetProtection algorithmName="SHA-512" hashValue="B4omaL/vVzGNslZLMDS5Kp6lGaEwNbwvqbhJSJMMsKtyn1mJBjRem/Vjf5DWdtHKr8Nf/sQGojaUR3E1DDplxg==" saltValue="yRRyAryw2rZlo3FaMkQdTA==" spinCount="100000" sheet="1" formatCells="0" formatColumns="0" formatRows="0" selectLockedCells="1"/>
  <mergeCells count="31">
    <mergeCell ref="C12:H12"/>
    <mergeCell ref="I12:Y12"/>
    <mergeCell ref="Z12:AF12"/>
    <mergeCell ref="B6:C6"/>
    <mergeCell ref="B7:C7"/>
    <mergeCell ref="U9:V9"/>
    <mergeCell ref="W8:AA8"/>
    <mergeCell ref="W9:AA9"/>
    <mergeCell ref="G9:H9"/>
    <mergeCell ref="G10:H10"/>
    <mergeCell ref="E7:F7"/>
    <mergeCell ref="E8:F8"/>
    <mergeCell ref="E9:F9"/>
    <mergeCell ref="E10:F10"/>
    <mergeCell ref="L6:S6"/>
    <mergeCell ref="AC5:AF9"/>
    <mergeCell ref="B5:D5"/>
    <mergeCell ref="U6:V7"/>
    <mergeCell ref="U8:V8"/>
    <mergeCell ref="U5:AA5"/>
    <mergeCell ref="E5:S5"/>
    <mergeCell ref="E6:K6"/>
    <mergeCell ref="G7:H7"/>
    <mergeCell ref="G8:H8"/>
    <mergeCell ref="J7:K7"/>
    <mergeCell ref="J8:K8"/>
    <mergeCell ref="J9:K9"/>
    <mergeCell ref="N7:S7"/>
    <mergeCell ref="N8:S8"/>
    <mergeCell ref="L7:M7"/>
    <mergeCell ref="L8:M8"/>
  </mergeCells>
  <conditionalFormatting sqref="U14:U263">
    <cfRule type="containsErrors" dxfId="94" priority="86">
      <formula>ISERROR(U14)</formula>
    </cfRule>
  </conditionalFormatting>
  <conditionalFormatting sqref="K2">
    <cfRule type="expression" dxfId="93" priority="4">
      <formula>IHZ_STATUS="Empty"</formula>
    </cfRule>
    <cfRule type="expression" dxfId="92" priority="19">
      <formula>IHZ_STATUS="VALID"</formula>
    </cfRule>
    <cfRule type="expression" dxfId="91" priority="20">
      <formula>IHZ_STATUS="Invalid"</formula>
    </cfRule>
  </conditionalFormatting>
  <conditionalFormatting sqref="T14:T263 X14:Y263">
    <cfRule type="expression" dxfId="90" priority="556">
      <formula>$J14="IMDG"</formula>
    </cfRule>
  </conditionalFormatting>
  <conditionalFormatting sqref="S14:S263">
    <cfRule type="expression" dxfId="89" priority="560">
      <formula>OR(J14="IMDG",J14="IBC")</formula>
    </cfRule>
  </conditionalFormatting>
  <conditionalFormatting sqref="R14:R263">
    <cfRule type="expression" dxfId="88" priority="561">
      <formula>OR(J14="IMDG",J14="IBC",J14="MARPOL_ANNEX_1")</formula>
    </cfRule>
  </conditionalFormatting>
  <conditionalFormatting sqref="AA14:AA263">
    <cfRule type="expression" dxfId="87" priority="562">
      <formula>$Z14="TEU"</formula>
    </cfRule>
  </conditionalFormatting>
  <conditionalFormatting sqref="B14:B263">
    <cfRule type="expression" dxfId="86" priority="14">
      <formula>B14="Invalid"</formula>
    </cfRule>
  </conditionalFormatting>
  <conditionalFormatting sqref="M14:M263">
    <cfRule type="expression" dxfId="85" priority="12">
      <formula>OR(J14="IMDG",J14="IBC",J14="IMSBC",J14="BC")</formula>
    </cfRule>
  </conditionalFormatting>
  <conditionalFormatting sqref="Q14:Q263">
    <cfRule type="expression" dxfId="84" priority="11">
      <formula>J14="IMDG"</formula>
    </cfRule>
  </conditionalFormatting>
  <conditionalFormatting sqref="W8">
    <cfRule type="containsErrors" dxfId="83" priority="9">
      <formula>ISERROR(W8)</formula>
    </cfRule>
  </conditionalFormatting>
  <conditionalFormatting sqref="W9">
    <cfRule type="containsErrors" dxfId="82" priority="8">
      <formula>ISERROR(W9)</formula>
    </cfRule>
  </conditionalFormatting>
  <conditionalFormatting sqref="I7">
    <cfRule type="expression" dxfId="81" priority="7">
      <formula xml:space="preserve"> OR( IHZ_CON_FIRSTNAME&lt;&gt;"", IHZ_CON_LASTNAME&lt;&gt;"", IHZ_CON_LOCODE&lt;&gt;"", IHZ_CON_PHONE&lt;&gt;"", IHZ_CON_FAX&lt;&gt;"", IHZ_CON_EMAIL&lt;&gt;"", )</formula>
    </cfRule>
  </conditionalFormatting>
  <conditionalFormatting sqref="L7:M8">
    <cfRule type="expression" dxfId="80" priority="6">
      <formula>OR( IHZ_DET_URL&lt;&gt;"", IHZ_DET_DOCTYPE&lt;&gt;"", )</formula>
    </cfRule>
  </conditionalFormatting>
  <conditionalFormatting sqref="C13 I13:K13 N13:P13">
    <cfRule type="expression" dxfId="79" priority="5">
      <formula>IHZ_DET_HAZONBOARD="Yes"</formula>
    </cfRule>
  </conditionalFormatting>
  <conditionalFormatting sqref="G10">
    <cfRule type="containsErrors" dxfId="78" priority="3">
      <formula>ISERROR(G10)</formula>
    </cfRule>
  </conditionalFormatting>
  <conditionalFormatting sqref="F14:F263">
    <cfRule type="containsErrors" dxfId="77" priority="2">
      <formula>ISERROR(F14)</formula>
    </cfRule>
  </conditionalFormatting>
  <conditionalFormatting sqref="H14:H263">
    <cfRule type="containsErrors" dxfId="76" priority="1">
      <formula>ISERROR(H14)</formula>
    </cfRule>
  </conditionalFormatting>
  <dataValidations xWindow="474" yWindow="682" count="40">
    <dataValidation allowBlank="1" error="Port name is not recognised" sqref="G10"/>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formula1>1</formula1>
      <formula2>7</formula2>
    </dataValidation>
    <dataValidation allowBlank="1" showInputMessage="1" showErrorMessage="1" promptTitle="Package code" prompt="Choose package type to display the correct package code" sqref="U14:U263"/>
    <dataValidation type="custom" allowBlank="1" showInputMessage="1" showErrorMessage="1" errorTitle="Invalid Input" error="Number, max 3 decimal places" promptTitle="Flash point" prompt="The temperature in degrees Celsius at which a liquid will give_x000a_off enough flammable vapour to be ignited_x000a__x000a_Must be a number with a maximum of 3 decimal places" sqref="R14:R263">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whole number" promptTitle="Total packages" prompt="The total number of packages on all cargo units_x000a_covered by this cargo item_x000a__x000a_Must be a whole number" sqref="V14:V263">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whole" allowBlank="1" showInputMessage="1" showErrorMessage="1" errorTitle="Invalid Input" error="Must be whole number"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custom" allowBlank="1" showInputMessage="1" showErrorMessage="1" errorTitle="Invalid" error="Max three decimal places" promptTitle="Amount" prompt="Indicate quanity of goods in transport unit_x000a__x000a_Must be a number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formula1>"TEU,Non-TEU"</formula1>
    </dataValidation>
    <dataValidation type="textLength" operator="equal" allowBlank="1" showInputMessage="1" showErrorMessage="1" errorTitle="Error" error="Must be 4 characters." promptTitle="UN number" prompt="UN number of DPG item_x000a__x000a_Must be 4 characters" sqref="M14:M263">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formula1>1</formula1>
      <formula2>35</formula2>
    </dataValidation>
    <dataValidation type="custom" allowBlank="1" showInputMessage="1" showErrorMessage="1" errorTitle="Invalid Input" error="Number, max 3 decimal places." promptTitle="Total amount" prompt="Total quanity of the DPG item on board_x000a__x000a_Must be a number with a maximum of 3 decimal places" sqref="N14:N263">
      <formula1>IF(OR(ISBLANK(N14),AND(ISNUMBER(N14),LEN(N14)-(IF(ISNUMBER(SEARCH(".",N14)),SEARCH(".",N14),LEN(N14)))&lt;=3,N14&lt;=9999999999999)),TRUE(),FALSE())</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custom" showInputMessage="1" showErrorMessage="1" error="Must contain an &quot;@&quot;, can not contain spaces and must be less than 50 characters." promptTitle="Email" prompt="The email of the cargo contact person_x000a__x000a_Must contain an &quot;@&quot;, can not contain spaces and must be less than 50 characters" sqref="J9">
      <formula1>IF(OR(ISBLANK(INDEX(IHZ_CON_EMAIL,1,1)),AND(NOT(ISERROR(SEARCH("@",INDEX(IHZ_CON_EMAIL,1,1)))),ISERROR(SEARCH(" ",INDEX(IHZ_CON_EMAIL,1,1))),LEN(INDEX(IHZ_CON_EMAIL,1,1))&lt;=50)),TRUE(),FALSE())</formula1>
    </dataValidation>
    <dataValidation type="custom" showInputMessage="1" showErrorMessage="1" error="Only numerals (0-9) and (&quot;+&quot;) are allowed" promptTitle="Phone" prompt="The Phone number of the cargo contact person_x000a__x000a_Include country code_x000a__x000a_Max 16 characters. Only numerals (0-9) and (&quot;+&quot;) are allowed" sqref="J7">
      <formula1>AND(ISNUMBER(SUMPRODUCT(SEARCH(MID(INDEX(IHZ_CON_PHONE,1,1),ROW(INDIRECT("1:"&amp;LEN(INDEX(IHZ_CON_PHONE,1,1)))),1),"0123456789+"))),LEN(INDEX(IHZ_CON_PHONE,1,1))&lt;=16)</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formula1>REF_DOCTYPES</formula1>
    </dataValidation>
    <dataValidation type="list" allowBlank="1" showInputMessage="1" showErrorMessage="1" error="Select from dropdown" promptTitle="Hazmat on board" prompt="Whether the vessel has any Hazmat on board_x000a__x000a_Choose from dropdown menu" sqref="D6">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textLength" operator="equal" allowBlank="1" showDropDown="1" showInputMessage="1" showErrorMessage="1" errorTitle="Error" error="Invalid LOCODE, must be 5 characters." promptTitle="Port LOCODE" prompt="The LOCODE for the port of the cargo contact person_x000a__x000a_Use the LOCODE lookup to find the correct code_x000a__x000a_Must be valid LOCODE" sqref="G9:H9">
      <formula1>5</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263">
      <formula1>REF_DG_CLASSIFICATION</formula1>
    </dataValidation>
    <dataValidation type="custom" showInputMessage="1" showErrorMessage="1" error="Max 16 characters. Only numerals (0-9) and (&quot;+&quot;) are allowed" promptTitle="Fax" prompt="The Fax of the cargo contact person _x000a__x000a_Include country code_x000a__x000a_Max 16 characters. Only numerals (0-9) and (&quot;+&quot;) are allowed" sqref="J8:K8">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AND(LEFT(INDEX(IHZ_DET_URL,1,1),8)="https://",ISNUMBER(SEARCH(".",INDEX(IHZ_DET_URL,1,1))),LEN(INDEX(IHZ_DET_URL,1,1))&lt;256,LEN(INDEX(IHZ_DET_URL,1,1))&gt;19)</formula1>
    </dataValidation>
  </dataValidations>
  <pageMargins left="0.23622047244094491" right="0.23622047244094491" top="0.39370078740157483" bottom="0.39370078740157483" header="0.31496062992125984" footer="0.31496062992125984"/>
  <pageSetup paperSize="9" scale="44"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B0F0"/>
    <pageSetUpPr fitToPage="1"/>
  </sheetPr>
  <dimension ref="A1:AG265"/>
  <sheetViews>
    <sheetView zoomScale="85" zoomScaleNormal="85" workbookViewId="0">
      <pane ySplit="3" topLeftCell="A4" activePane="bottomLeft" state="frozen"/>
      <selection pane="bottomLeft" activeCell="D6" sqref="D6"/>
    </sheetView>
  </sheetViews>
  <sheetFormatPr defaultColWidth="9.109375" defaultRowHeight="13.2"/>
  <cols>
    <col min="1" max="1" width="2.44140625" style="53" customWidth="1"/>
    <col min="2" max="2" width="9.109375" style="264" customWidth="1"/>
    <col min="3" max="3" width="13.6640625" style="264" customWidth="1"/>
    <col min="4" max="4" width="11.109375" style="264" customWidth="1"/>
    <col min="5" max="5" width="9.33203125" style="264" customWidth="1"/>
    <col min="6" max="6" width="9.6640625" style="264" customWidth="1"/>
    <col min="7" max="7" width="11.6640625" style="264" customWidth="1"/>
    <col min="8" max="8" width="10.88671875" style="264" customWidth="1"/>
    <col min="9" max="9" width="11" style="264" customWidth="1"/>
    <col min="10" max="10" width="13.6640625" style="264" customWidth="1"/>
    <col min="11" max="11" width="16.44140625" style="264" customWidth="1"/>
    <col min="12" max="12" width="8" style="264" customWidth="1"/>
    <col min="13" max="13" width="9" style="264" customWidth="1"/>
    <col min="14" max="14" width="7.88671875" style="370" customWidth="1"/>
    <col min="15" max="15" width="7.5546875" style="370" customWidth="1"/>
    <col min="16" max="16" width="5.5546875" style="370" customWidth="1"/>
    <col min="17" max="17" width="8.88671875" style="370" customWidth="1"/>
    <col min="18" max="18" width="6.5546875" style="370" customWidth="1"/>
    <col min="19" max="19" width="7.88671875" style="370" customWidth="1"/>
    <col min="20" max="20" width="16.44140625" style="370" customWidth="1"/>
    <col min="21" max="21" width="10.44140625" style="370" customWidth="1"/>
    <col min="22" max="22" width="11.33203125" style="370" customWidth="1"/>
    <col min="23" max="23" width="11.44140625" style="370" customWidth="1"/>
    <col min="24" max="24" width="9.109375" style="370" customWidth="1"/>
    <col min="25" max="25" width="11.33203125" style="18" customWidth="1"/>
    <col min="26" max="26" width="9.33203125" style="18" customWidth="1"/>
    <col min="27" max="27" width="8.88671875" style="18" customWidth="1"/>
    <col min="28" max="28" width="10.44140625" style="18" customWidth="1"/>
    <col min="29" max="30" width="10.5546875" style="18" customWidth="1"/>
    <col min="31" max="31" width="7.109375" style="18" customWidth="1"/>
    <col min="32" max="32" width="6.33203125" style="18" customWidth="1"/>
    <col min="33" max="33" width="11" style="18" customWidth="1"/>
    <col min="34" max="16384" width="9.109375" style="53"/>
  </cols>
  <sheetData>
    <row r="1" spans="1:33" s="157" customFormat="1" ht="4.5" customHeight="1">
      <c r="B1" s="394"/>
      <c r="C1" s="394"/>
      <c r="D1" s="394"/>
      <c r="E1" s="394"/>
      <c r="F1" s="394"/>
      <c r="G1" s="394"/>
      <c r="H1" s="394"/>
      <c r="I1" s="394"/>
      <c r="J1" s="394"/>
      <c r="K1" s="394"/>
      <c r="L1" s="394"/>
      <c r="M1" s="394"/>
    </row>
    <row r="2" spans="1:33" s="157" customFormat="1" ht="21">
      <c r="A2" s="154"/>
      <c r="B2" s="154" t="s">
        <v>1877</v>
      </c>
      <c r="C2" s="154"/>
      <c r="D2" s="154"/>
      <c r="E2" s="154"/>
      <c r="F2" s="154"/>
      <c r="G2" s="154"/>
      <c r="J2" s="396" t="s">
        <v>1965</v>
      </c>
      <c r="K2" s="397" t="str">
        <f>OHZ_STATUS</f>
        <v>Empty</v>
      </c>
      <c r="L2" s="401" t="str">
        <f>IFERROR(OHZ_VALID_RES,"")</f>
        <v>‘Hazmat on board‘ is required</v>
      </c>
      <c r="M2" s="398"/>
      <c r="N2" s="398"/>
      <c r="O2" s="398"/>
      <c r="P2" s="398"/>
      <c r="Q2" s="398"/>
      <c r="R2" s="398"/>
      <c r="S2" s="398"/>
      <c r="T2" s="398"/>
      <c r="U2" s="398"/>
      <c r="V2" s="398"/>
      <c r="W2" s="398"/>
      <c r="X2" s="398"/>
      <c r="Y2" s="398"/>
      <c r="Z2" s="398"/>
      <c r="AA2" s="398"/>
      <c r="AB2" s="398"/>
      <c r="AC2" s="398"/>
      <c r="AD2" s="398"/>
      <c r="AE2" s="398"/>
      <c r="AF2" s="398"/>
      <c r="AG2" s="398"/>
    </row>
    <row r="3" spans="1:33" s="157" customFormat="1" ht="4.5" customHeight="1"/>
    <row r="4" spans="1:33" s="379" customFormat="1" ht="12.75" customHeight="1" thickBot="1"/>
    <row r="5" spans="1:33" ht="21" customHeight="1" thickTop="1">
      <c r="B5" s="635" t="s">
        <v>2376</v>
      </c>
      <c r="C5" s="636"/>
      <c r="D5" s="637"/>
      <c r="E5" s="605" t="s">
        <v>2084</v>
      </c>
      <c r="F5" s="606"/>
      <c r="G5" s="606"/>
      <c r="H5" s="606"/>
      <c r="I5" s="606"/>
      <c r="J5" s="606"/>
      <c r="K5" s="606"/>
      <c r="L5" s="606"/>
      <c r="M5" s="606"/>
      <c r="N5" s="606"/>
      <c r="O5" s="606"/>
      <c r="P5" s="606"/>
      <c r="Q5" s="606"/>
      <c r="R5" s="606"/>
      <c r="S5" s="607"/>
      <c r="U5" s="696"/>
      <c r="V5" s="696"/>
      <c r="W5" s="696"/>
      <c r="X5" s="696"/>
      <c r="Y5" s="696"/>
      <c r="Z5" s="696"/>
      <c r="AA5" s="696"/>
      <c r="AC5" s="777" t="s">
        <v>2354</v>
      </c>
      <c r="AD5" s="777"/>
      <c r="AE5" s="777"/>
      <c r="AF5" s="777"/>
      <c r="AG5" s="308"/>
    </row>
    <row r="6" spans="1:33" ht="12.75" customHeight="1">
      <c r="B6" s="465" t="s">
        <v>2377</v>
      </c>
      <c r="C6" s="466"/>
      <c r="D6" s="261"/>
      <c r="E6" s="783" t="s">
        <v>1968</v>
      </c>
      <c r="F6" s="781"/>
      <c r="G6" s="781"/>
      <c r="H6" s="781"/>
      <c r="I6" s="781"/>
      <c r="J6" s="781"/>
      <c r="K6" s="784"/>
      <c r="L6" s="780" t="s">
        <v>1969</v>
      </c>
      <c r="M6" s="781"/>
      <c r="N6" s="781"/>
      <c r="O6" s="781"/>
      <c r="P6" s="781"/>
      <c r="Q6" s="781"/>
      <c r="R6" s="781"/>
      <c r="S6" s="782"/>
      <c r="U6" s="701"/>
      <c r="V6" s="701"/>
      <c r="W6" s="581"/>
      <c r="X6" s="369"/>
      <c r="Y6" s="369"/>
      <c r="Z6" s="369"/>
      <c r="AA6" s="369"/>
      <c r="AC6" s="777"/>
      <c r="AD6" s="777"/>
      <c r="AE6" s="777"/>
      <c r="AF6" s="777"/>
      <c r="AG6" s="308"/>
    </row>
    <row r="7" spans="1:33" ht="12" customHeight="1" thickBot="1">
      <c r="B7" s="366" t="s">
        <v>73</v>
      </c>
      <c r="C7" s="367"/>
      <c r="D7" s="575"/>
      <c r="E7" s="303" t="s">
        <v>65</v>
      </c>
      <c r="F7" s="304"/>
      <c r="G7" s="787"/>
      <c r="H7" s="788"/>
      <c r="I7" s="345" t="s">
        <v>62</v>
      </c>
      <c r="J7" s="795"/>
      <c r="K7" s="796"/>
      <c r="L7" s="785" t="s">
        <v>1973</v>
      </c>
      <c r="M7" s="786"/>
      <c r="N7" s="800"/>
      <c r="O7" s="801"/>
      <c r="P7" s="801"/>
      <c r="Q7" s="801"/>
      <c r="R7" s="801"/>
      <c r="S7" s="802"/>
      <c r="U7" s="701"/>
      <c r="V7" s="701"/>
      <c r="W7" s="581"/>
      <c r="X7" s="369"/>
      <c r="Y7" s="369"/>
      <c r="Z7" s="369"/>
      <c r="AA7" s="369"/>
      <c r="AC7" s="777"/>
      <c r="AD7" s="777"/>
      <c r="AE7" s="777"/>
      <c r="AF7" s="777"/>
      <c r="AG7" s="308"/>
    </row>
    <row r="8" spans="1:33" ht="12.75" customHeight="1" thickTop="1" thickBot="1">
      <c r="E8" s="303" t="s">
        <v>66</v>
      </c>
      <c r="F8" s="304"/>
      <c r="G8" s="789"/>
      <c r="H8" s="790"/>
      <c r="I8" s="345" t="s">
        <v>63</v>
      </c>
      <c r="J8" s="797"/>
      <c r="K8" s="798"/>
      <c r="L8" s="778" t="s">
        <v>1974</v>
      </c>
      <c r="M8" s="779"/>
      <c r="N8" s="803"/>
      <c r="O8" s="804"/>
      <c r="P8" s="804"/>
      <c r="Q8" s="804"/>
      <c r="R8" s="804"/>
      <c r="S8" s="805"/>
      <c r="U8" s="697"/>
      <c r="V8" s="697"/>
      <c r="W8" s="700"/>
      <c r="X8" s="700"/>
      <c r="Y8" s="700"/>
      <c r="Z8" s="700"/>
      <c r="AA8" s="700"/>
      <c r="AC8" s="777"/>
      <c r="AD8" s="777"/>
      <c r="AE8" s="777"/>
      <c r="AF8" s="777"/>
      <c r="AG8" s="308"/>
    </row>
    <row r="9" spans="1:33" ht="12.75" customHeight="1" thickTop="1" thickBot="1">
      <c r="E9" s="303" t="s">
        <v>1573</v>
      </c>
      <c r="F9" s="304"/>
      <c r="G9" s="791"/>
      <c r="H9" s="792"/>
      <c r="I9" s="346" t="s">
        <v>13</v>
      </c>
      <c r="J9" s="799"/>
      <c r="K9" s="746"/>
      <c r="L9" s="52"/>
      <c r="M9" s="52"/>
      <c r="N9" s="48"/>
      <c r="O9" s="48"/>
      <c r="P9" s="48"/>
      <c r="Q9" s="48"/>
      <c r="R9" s="48"/>
      <c r="S9" s="48"/>
      <c r="U9" s="698"/>
      <c r="V9" s="698"/>
      <c r="W9" s="700"/>
      <c r="X9" s="700"/>
      <c r="Y9" s="700"/>
      <c r="Z9" s="700"/>
      <c r="AA9" s="700"/>
      <c r="AC9" s="777"/>
      <c r="AD9" s="777"/>
      <c r="AE9" s="777"/>
      <c r="AF9" s="777"/>
      <c r="AG9" s="308"/>
    </row>
    <row r="10" spans="1:33" ht="12.75" customHeight="1" thickTop="1" thickBot="1">
      <c r="D10" s="21"/>
      <c r="E10" s="305" t="s">
        <v>1575</v>
      </c>
      <c r="F10" s="306"/>
      <c r="G10" s="793"/>
      <c r="H10" s="794"/>
      <c r="I10" s="48"/>
      <c r="J10" s="48"/>
      <c r="K10" s="48"/>
      <c r="L10" s="48"/>
      <c r="M10" s="48"/>
      <c r="N10" s="48"/>
      <c r="O10" s="48"/>
      <c r="P10" s="48"/>
      <c r="Q10" s="48"/>
      <c r="R10" s="48"/>
      <c r="S10" s="48"/>
      <c r="U10" s="310"/>
      <c r="V10" s="19"/>
      <c r="W10" s="19"/>
      <c r="X10" s="19"/>
      <c r="Y10" s="369"/>
      <c r="Z10" s="369"/>
      <c r="AA10" s="369"/>
      <c r="AD10" s="308"/>
      <c r="AE10" s="308"/>
      <c r="AF10" s="308"/>
      <c r="AG10" s="308"/>
    </row>
    <row r="11" spans="1:33" ht="6.75" customHeight="1" thickTop="1" thickBot="1">
      <c r="B11" s="182"/>
      <c r="C11" s="183"/>
      <c r="D11" s="21"/>
      <c r="E11" s="370"/>
      <c r="F11" s="370"/>
      <c r="G11" s="370"/>
      <c r="H11" s="370"/>
      <c r="I11" s="370"/>
      <c r="J11" s="370"/>
      <c r="K11" s="370"/>
      <c r="L11" s="370"/>
      <c r="M11" s="370"/>
      <c r="X11" s="308"/>
      <c r="Y11" s="308"/>
      <c r="Z11" s="308"/>
    </row>
    <row r="12" spans="1:33" ht="21" customHeight="1" thickTop="1">
      <c r="B12" s="311"/>
      <c r="C12" s="605" t="s">
        <v>1869</v>
      </c>
      <c r="D12" s="606"/>
      <c r="E12" s="606"/>
      <c r="F12" s="606"/>
      <c r="G12" s="606"/>
      <c r="H12" s="607"/>
      <c r="I12" s="605" t="s">
        <v>1875</v>
      </c>
      <c r="J12" s="606"/>
      <c r="K12" s="606"/>
      <c r="L12" s="606"/>
      <c r="M12" s="606"/>
      <c r="N12" s="606"/>
      <c r="O12" s="606"/>
      <c r="P12" s="606"/>
      <c r="Q12" s="606"/>
      <c r="R12" s="606"/>
      <c r="S12" s="606"/>
      <c r="T12" s="606"/>
      <c r="U12" s="606"/>
      <c r="V12" s="606"/>
      <c r="W12" s="606"/>
      <c r="X12" s="606"/>
      <c r="Y12" s="607"/>
      <c r="Z12" s="605" t="s">
        <v>1876</v>
      </c>
      <c r="AA12" s="606"/>
      <c r="AB12" s="606"/>
      <c r="AC12" s="606"/>
      <c r="AD12" s="606"/>
      <c r="AE12" s="606"/>
      <c r="AF12" s="607"/>
    </row>
    <row r="13" spans="1:33" s="302" customFormat="1" ht="45" customHeight="1">
      <c r="B13" s="287" t="s">
        <v>1970</v>
      </c>
      <c r="C13" s="283" t="s">
        <v>2350</v>
      </c>
      <c r="D13" s="368" t="s">
        <v>625</v>
      </c>
      <c r="E13" s="284" t="s">
        <v>1577</v>
      </c>
      <c r="F13" s="284" t="s">
        <v>1871</v>
      </c>
      <c r="G13" s="284" t="s">
        <v>1576</v>
      </c>
      <c r="H13" s="300" t="s">
        <v>1870</v>
      </c>
      <c r="I13" s="298" t="s">
        <v>2351</v>
      </c>
      <c r="J13" s="300" t="s">
        <v>2352</v>
      </c>
      <c r="K13" s="284" t="s">
        <v>2353</v>
      </c>
      <c r="L13" s="300" t="s">
        <v>112</v>
      </c>
      <c r="M13" s="284" t="s">
        <v>624</v>
      </c>
      <c r="N13" s="375" t="s">
        <v>2364</v>
      </c>
      <c r="O13" s="284" t="s">
        <v>1873</v>
      </c>
      <c r="P13" s="300" t="s">
        <v>1976</v>
      </c>
      <c r="Q13" s="300" t="s">
        <v>2</v>
      </c>
      <c r="R13" s="284" t="s">
        <v>68</v>
      </c>
      <c r="S13" s="284" t="s">
        <v>69</v>
      </c>
      <c r="T13" s="284" t="s">
        <v>1</v>
      </c>
      <c r="U13" s="284" t="s">
        <v>391</v>
      </c>
      <c r="V13" s="284" t="s">
        <v>70</v>
      </c>
      <c r="W13" s="284" t="s">
        <v>71</v>
      </c>
      <c r="X13" s="284" t="s">
        <v>72</v>
      </c>
      <c r="Y13" s="285" t="s">
        <v>1387</v>
      </c>
      <c r="Z13" s="283" t="s">
        <v>2357</v>
      </c>
      <c r="AA13" s="284" t="s">
        <v>1874</v>
      </c>
      <c r="AB13" s="284" t="s">
        <v>2355</v>
      </c>
      <c r="AC13" s="284" t="s">
        <v>641</v>
      </c>
      <c r="AD13" s="286" t="s">
        <v>2356</v>
      </c>
      <c r="AE13" s="284" t="s">
        <v>1872</v>
      </c>
      <c r="AF13" s="285" t="s">
        <v>1976</v>
      </c>
    </row>
    <row r="14" spans="1:33">
      <c r="B14" s="514" t="str">
        <f>IF(AND(Validator!J508=TRUE,Validator!J8=TRUE,Validator!J258,Validator!J258=TRUE,Validator!J758=TRUE,Validator!J1008=TRUE,Validator!J1258=TRUE),"Valid","Invalid")</f>
        <v>Valid</v>
      </c>
      <c r="C14" s="144"/>
      <c r="D14" s="364"/>
      <c r="E14" s="145"/>
      <c r="F14" s="580"/>
      <c r="G14" s="309"/>
      <c r="H14" s="580"/>
      <c r="I14" s="296"/>
      <c r="J14" s="378"/>
      <c r="K14" s="146"/>
      <c r="L14" s="539"/>
      <c r="M14" s="469"/>
      <c r="N14" s="372"/>
      <c r="O14" s="348" t="s">
        <v>280</v>
      </c>
      <c r="P14" s="349" t="s">
        <v>79</v>
      </c>
      <c r="Q14" s="516"/>
      <c r="R14" s="467"/>
      <c r="S14" s="517"/>
      <c r="T14" s="517"/>
      <c r="U14" s="171" t="str">
        <f>IF(ISERROR(VLOOKUP($T14, 'Reference data'!$J$2:$K$139, 2, FALSE)),"-",VLOOKUP($T14, 'Reference data'!$J$2:$K$139, 2, FALSE))</f>
        <v>-</v>
      </c>
      <c r="V14" s="147"/>
      <c r="W14" s="147"/>
      <c r="X14" s="471"/>
      <c r="Y14" s="472"/>
      <c r="Z14" s="352"/>
      <c r="AA14" s="520"/>
      <c r="AB14" s="163"/>
      <c r="AC14" s="148"/>
      <c r="AD14" s="145"/>
      <c r="AE14" s="348" t="s">
        <v>280</v>
      </c>
      <c r="AF14" s="354" t="s">
        <v>79</v>
      </c>
    </row>
    <row r="15" spans="1:33">
      <c r="B15" s="514" t="str">
        <f>IF(AND(Validator!J509=TRUE,Validator!J9=TRUE,Validator!J259,Validator!J259=TRUE,Validator!J759=TRUE,Validator!J1009=TRUE,Validator!J1259=TRUE),"Valid","Invalid")</f>
        <v>Valid</v>
      </c>
      <c r="C15" s="144"/>
      <c r="D15" s="364"/>
      <c r="E15" s="145"/>
      <c r="F15" s="580"/>
      <c r="G15" s="309"/>
      <c r="H15" s="580"/>
      <c r="I15" s="296"/>
      <c r="J15" s="378"/>
      <c r="K15" s="146"/>
      <c r="L15" s="539"/>
      <c r="M15" s="469"/>
      <c r="N15" s="373"/>
      <c r="O15" s="348" t="s">
        <v>280</v>
      </c>
      <c r="P15" s="349" t="s">
        <v>79</v>
      </c>
      <c r="Q15" s="516"/>
      <c r="R15" s="467"/>
      <c r="S15" s="517"/>
      <c r="T15" s="517"/>
      <c r="U15" s="171" t="str">
        <f>IF(ISERROR(VLOOKUP($T15, 'Reference data'!$J$2:$K$139, 2, FALSE)),"-",VLOOKUP($T15, 'Reference data'!$J$2:$K$139, 2, FALSE))</f>
        <v>-</v>
      </c>
      <c r="V15" s="147"/>
      <c r="W15" s="147"/>
      <c r="X15" s="471"/>
      <c r="Y15" s="472"/>
      <c r="Z15" s="352"/>
      <c r="AA15" s="520"/>
      <c r="AB15" s="163"/>
      <c r="AC15" s="148"/>
      <c r="AD15" s="145"/>
      <c r="AE15" s="348" t="s">
        <v>280</v>
      </c>
      <c r="AF15" s="354" t="s">
        <v>79</v>
      </c>
    </row>
    <row r="16" spans="1:33">
      <c r="B16" s="514" t="str">
        <f>IF(AND(Validator!J510=TRUE,Validator!J10=TRUE,Validator!J260,Validator!J260=TRUE,Validator!J760=TRUE,Validator!J1010=TRUE,Validator!J1260=TRUE),"Valid","Invalid")</f>
        <v>Valid</v>
      </c>
      <c r="C16" s="144"/>
      <c r="D16" s="364"/>
      <c r="E16" s="145"/>
      <c r="F16" s="580"/>
      <c r="G16" s="309"/>
      <c r="H16" s="580"/>
      <c r="I16" s="296"/>
      <c r="J16" s="378"/>
      <c r="K16" s="146"/>
      <c r="L16" s="539"/>
      <c r="M16" s="469"/>
      <c r="N16" s="373"/>
      <c r="O16" s="348" t="s">
        <v>280</v>
      </c>
      <c r="P16" s="349" t="s">
        <v>79</v>
      </c>
      <c r="Q16" s="516"/>
      <c r="R16" s="467"/>
      <c r="S16" s="517"/>
      <c r="T16" s="517"/>
      <c r="U16" s="171" t="str">
        <f>IF(ISERROR(VLOOKUP($T16, 'Reference data'!$J$2:$K$139, 2, FALSE)),"-",VLOOKUP($T16, 'Reference data'!$J$2:$K$139, 2, FALSE))</f>
        <v>-</v>
      </c>
      <c r="V16" s="147"/>
      <c r="W16" s="147"/>
      <c r="X16" s="471"/>
      <c r="Y16" s="472"/>
      <c r="Z16" s="352"/>
      <c r="AA16" s="520"/>
      <c r="AB16" s="163"/>
      <c r="AC16" s="148"/>
      <c r="AD16" s="145"/>
      <c r="AE16" s="348" t="s">
        <v>280</v>
      </c>
      <c r="AF16" s="354" t="s">
        <v>79</v>
      </c>
    </row>
    <row r="17" spans="2:32">
      <c r="B17" s="514" t="str">
        <f>IF(AND(Validator!J511=TRUE,Validator!J11=TRUE,Validator!J261,Validator!J261=TRUE,Validator!J761=TRUE,Validator!J1011=TRUE,Validator!J1261=TRUE),"Valid","Invalid")</f>
        <v>Valid</v>
      </c>
      <c r="C17" s="144"/>
      <c r="D17" s="364"/>
      <c r="E17" s="145"/>
      <c r="F17" s="580"/>
      <c r="G17" s="309"/>
      <c r="H17" s="580"/>
      <c r="I17" s="296"/>
      <c r="J17" s="378"/>
      <c r="K17" s="146"/>
      <c r="L17" s="539"/>
      <c r="M17" s="469"/>
      <c r="N17" s="373"/>
      <c r="O17" s="348" t="s">
        <v>280</v>
      </c>
      <c r="P17" s="349" t="s">
        <v>79</v>
      </c>
      <c r="Q17" s="516"/>
      <c r="R17" s="467"/>
      <c r="S17" s="517"/>
      <c r="T17" s="517"/>
      <c r="U17" s="171" t="str">
        <f>IF(ISERROR(VLOOKUP($T17, 'Reference data'!$J$2:$K$139, 2, FALSE)),"-",VLOOKUP($T17, 'Reference data'!$J$2:$K$139, 2, FALSE))</f>
        <v>-</v>
      </c>
      <c r="V17" s="147"/>
      <c r="W17" s="147"/>
      <c r="X17" s="471"/>
      <c r="Y17" s="472"/>
      <c r="Z17" s="352"/>
      <c r="AA17" s="520"/>
      <c r="AB17" s="163"/>
      <c r="AC17" s="148"/>
      <c r="AD17" s="145"/>
      <c r="AE17" s="348" t="s">
        <v>280</v>
      </c>
      <c r="AF17" s="354" t="s">
        <v>79</v>
      </c>
    </row>
    <row r="18" spans="2:32">
      <c r="B18" s="514" t="str">
        <f>IF(AND(Validator!J512=TRUE,Validator!J12=TRUE,Validator!J262,Validator!J262=TRUE,Validator!J762=TRUE,Validator!J1012=TRUE,Validator!J1262=TRUE),"Valid","Invalid")</f>
        <v>Valid</v>
      </c>
      <c r="C18" s="144"/>
      <c r="D18" s="364"/>
      <c r="E18" s="145"/>
      <c r="F18" s="580"/>
      <c r="G18" s="309"/>
      <c r="H18" s="580"/>
      <c r="I18" s="296"/>
      <c r="J18" s="378"/>
      <c r="K18" s="146"/>
      <c r="L18" s="539"/>
      <c r="M18" s="469"/>
      <c r="N18" s="373"/>
      <c r="O18" s="348" t="s">
        <v>280</v>
      </c>
      <c r="P18" s="349" t="s">
        <v>79</v>
      </c>
      <c r="Q18" s="516"/>
      <c r="R18" s="467"/>
      <c r="S18" s="517"/>
      <c r="T18" s="517"/>
      <c r="U18" s="171" t="str">
        <f>IF(ISERROR(VLOOKUP($T18, 'Reference data'!$J$2:$K$139, 2, FALSE)),"-",VLOOKUP($T18, 'Reference data'!$J$2:$K$139, 2, FALSE))</f>
        <v>-</v>
      </c>
      <c r="V18" s="147"/>
      <c r="W18" s="147"/>
      <c r="X18" s="471"/>
      <c r="Y18" s="472"/>
      <c r="Z18" s="352"/>
      <c r="AA18" s="520"/>
      <c r="AB18" s="163"/>
      <c r="AC18" s="148"/>
      <c r="AD18" s="145"/>
      <c r="AE18" s="348" t="s">
        <v>280</v>
      </c>
      <c r="AF18" s="354" t="s">
        <v>79</v>
      </c>
    </row>
    <row r="19" spans="2:32">
      <c r="B19" s="514" t="str">
        <f>IF(AND(Validator!J513=TRUE,Validator!J13=TRUE,Validator!J263,Validator!J263=TRUE,Validator!J763=TRUE,Validator!J1013=TRUE,Validator!J1263=TRUE),"Valid","Invalid")</f>
        <v>Valid</v>
      </c>
      <c r="C19" s="144"/>
      <c r="D19" s="364"/>
      <c r="E19" s="145"/>
      <c r="F19" s="580"/>
      <c r="G19" s="309"/>
      <c r="H19" s="580"/>
      <c r="I19" s="296"/>
      <c r="J19" s="376"/>
      <c r="K19" s="146"/>
      <c r="L19" s="539"/>
      <c r="M19" s="469"/>
      <c r="N19" s="373"/>
      <c r="O19" s="348" t="s">
        <v>280</v>
      </c>
      <c r="P19" s="349" t="s">
        <v>79</v>
      </c>
      <c r="Q19" s="516"/>
      <c r="R19" s="467"/>
      <c r="S19" s="517"/>
      <c r="T19" s="517"/>
      <c r="U19" s="171" t="str">
        <f>IF(ISERROR(VLOOKUP($T19, 'Reference data'!$J$2:$K$139, 2, FALSE)),"-",VLOOKUP($T19, 'Reference data'!$J$2:$K$139, 2, FALSE))</f>
        <v>-</v>
      </c>
      <c r="V19" s="147"/>
      <c r="W19" s="147"/>
      <c r="X19" s="471"/>
      <c r="Y19" s="472"/>
      <c r="Z19" s="352"/>
      <c r="AA19" s="520"/>
      <c r="AB19" s="163"/>
      <c r="AC19" s="148"/>
      <c r="AD19" s="145"/>
      <c r="AE19" s="348" t="s">
        <v>280</v>
      </c>
      <c r="AF19" s="354" t="s">
        <v>79</v>
      </c>
    </row>
    <row r="20" spans="2:32">
      <c r="B20" s="514" t="str">
        <f>IF(AND(Validator!J514=TRUE,Validator!J14=TRUE,Validator!J264,Validator!J264=TRUE,Validator!J764=TRUE,Validator!J1014=TRUE,Validator!J1264=TRUE),"Valid","Invalid")</f>
        <v>Valid</v>
      </c>
      <c r="C20" s="144"/>
      <c r="D20" s="364"/>
      <c r="E20" s="145"/>
      <c r="F20" s="580"/>
      <c r="G20" s="309"/>
      <c r="H20" s="580"/>
      <c r="I20" s="296"/>
      <c r="J20" s="376"/>
      <c r="K20" s="146"/>
      <c r="L20" s="539"/>
      <c r="M20" s="469"/>
      <c r="N20" s="373"/>
      <c r="O20" s="348" t="s">
        <v>280</v>
      </c>
      <c r="P20" s="349" t="s">
        <v>79</v>
      </c>
      <c r="Q20" s="516"/>
      <c r="R20" s="467"/>
      <c r="S20" s="517"/>
      <c r="T20" s="517"/>
      <c r="U20" s="171" t="str">
        <f>IF(ISERROR(VLOOKUP($T20, 'Reference data'!$J$2:$K$139, 2, FALSE)),"-",VLOOKUP($T20, 'Reference data'!$J$2:$K$139, 2, FALSE))</f>
        <v>-</v>
      </c>
      <c r="V20" s="147"/>
      <c r="W20" s="147"/>
      <c r="X20" s="471"/>
      <c r="Y20" s="472"/>
      <c r="Z20" s="352"/>
      <c r="AA20" s="520"/>
      <c r="AB20" s="163"/>
      <c r="AC20" s="148"/>
      <c r="AD20" s="145"/>
      <c r="AE20" s="348" t="s">
        <v>280</v>
      </c>
      <c r="AF20" s="354" t="s">
        <v>79</v>
      </c>
    </row>
    <row r="21" spans="2:32">
      <c r="B21" s="514" t="str">
        <f>IF(AND(Validator!J515=TRUE,Validator!J15=TRUE,Validator!J265,Validator!J265=TRUE,Validator!J765=TRUE,Validator!J1015=TRUE,Validator!J1265=TRUE),"Valid","Invalid")</f>
        <v>Valid</v>
      </c>
      <c r="C21" s="144"/>
      <c r="D21" s="364"/>
      <c r="E21" s="145"/>
      <c r="F21" s="580"/>
      <c r="G21" s="309"/>
      <c r="H21" s="580"/>
      <c r="I21" s="296"/>
      <c r="J21" s="376"/>
      <c r="K21" s="146"/>
      <c r="L21" s="539"/>
      <c r="M21" s="469"/>
      <c r="N21" s="373"/>
      <c r="O21" s="348" t="s">
        <v>280</v>
      </c>
      <c r="P21" s="349" t="s">
        <v>79</v>
      </c>
      <c r="Q21" s="516"/>
      <c r="R21" s="467"/>
      <c r="S21" s="517"/>
      <c r="T21" s="517"/>
      <c r="U21" s="171" t="str">
        <f>IF(ISERROR(VLOOKUP($T21, 'Reference data'!$J$2:$K$139, 2, FALSE)),"-",VLOOKUP($T21, 'Reference data'!$J$2:$K$139, 2, FALSE))</f>
        <v>-</v>
      </c>
      <c r="V21" s="147"/>
      <c r="W21" s="147"/>
      <c r="X21" s="471"/>
      <c r="Y21" s="472"/>
      <c r="Z21" s="352"/>
      <c r="AA21" s="520"/>
      <c r="AB21" s="163"/>
      <c r="AC21" s="148"/>
      <c r="AD21" s="145"/>
      <c r="AE21" s="348" t="s">
        <v>280</v>
      </c>
      <c r="AF21" s="354" t="s">
        <v>79</v>
      </c>
    </row>
    <row r="22" spans="2:32">
      <c r="B22" s="514" t="str">
        <f>IF(AND(Validator!J516=TRUE,Validator!J16=TRUE,Validator!J266,Validator!J266=TRUE,Validator!J766=TRUE,Validator!J1016=TRUE,Validator!J1266=TRUE),"Valid","Invalid")</f>
        <v>Valid</v>
      </c>
      <c r="C22" s="144"/>
      <c r="D22" s="364"/>
      <c r="E22" s="145"/>
      <c r="F22" s="580"/>
      <c r="G22" s="309"/>
      <c r="H22" s="580"/>
      <c r="I22" s="296"/>
      <c r="J22" s="376"/>
      <c r="K22" s="146"/>
      <c r="L22" s="539"/>
      <c r="M22" s="469"/>
      <c r="N22" s="373"/>
      <c r="O22" s="348" t="s">
        <v>280</v>
      </c>
      <c r="P22" s="349" t="s">
        <v>79</v>
      </c>
      <c r="Q22" s="516"/>
      <c r="R22" s="467"/>
      <c r="S22" s="517"/>
      <c r="T22" s="517"/>
      <c r="U22" s="171" t="str">
        <f>IF(ISERROR(VLOOKUP($T22, 'Reference data'!$J$2:$K$139, 2, FALSE)),"-",VLOOKUP($T22, 'Reference data'!$J$2:$K$139, 2, FALSE))</f>
        <v>-</v>
      </c>
      <c r="V22" s="147"/>
      <c r="W22" s="147"/>
      <c r="X22" s="471"/>
      <c r="Y22" s="472"/>
      <c r="Z22" s="352"/>
      <c r="AA22" s="520"/>
      <c r="AB22" s="163"/>
      <c r="AC22" s="148"/>
      <c r="AD22" s="145"/>
      <c r="AE22" s="348" t="s">
        <v>280</v>
      </c>
      <c r="AF22" s="354" t="s">
        <v>79</v>
      </c>
    </row>
    <row r="23" spans="2:32">
      <c r="B23" s="514" t="str">
        <f>IF(AND(Validator!J517=TRUE,Validator!J17=TRUE,Validator!J267,Validator!J267=TRUE,Validator!J767=TRUE,Validator!J1017=TRUE,Validator!J1267=TRUE),"Valid","Invalid")</f>
        <v>Valid</v>
      </c>
      <c r="C23" s="144"/>
      <c r="D23" s="364"/>
      <c r="E23" s="145"/>
      <c r="F23" s="580"/>
      <c r="G23" s="309"/>
      <c r="H23" s="580"/>
      <c r="I23" s="296"/>
      <c r="J23" s="376"/>
      <c r="K23" s="146"/>
      <c r="L23" s="539"/>
      <c r="M23" s="469"/>
      <c r="N23" s="373"/>
      <c r="O23" s="348" t="s">
        <v>280</v>
      </c>
      <c r="P23" s="349" t="s">
        <v>79</v>
      </c>
      <c r="Q23" s="516"/>
      <c r="R23" s="467"/>
      <c r="S23" s="517"/>
      <c r="T23" s="517"/>
      <c r="U23" s="171" t="str">
        <f>IF(ISERROR(VLOOKUP($T23, 'Reference data'!$J$2:$K$139, 2, FALSE)),"-",VLOOKUP($T23, 'Reference data'!$J$2:$K$139, 2, FALSE))</f>
        <v>-</v>
      </c>
      <c r="V23" s="147"/>
      <c r="W23" s="147"/>
      <c r="X23" s="471"/>
      <c r="Y23" s="472"/>
      <c r="Z23" s="352"/>
      <c r="AA23" s="520"/>
      <c r="AB23" s="163"/>
      <c r="AC23" s="148"/>
      <c r="AD23" s="145"/>
      <c r="AE23" s="348" t="s">
        <v>280</v>
      </c>
      <c r="AF23" s="354" t="s">
        <v>79</v>
      </c>
    </row>
    <row r="24" spans="2:32">
      <c r="B24" s="514" t="str">
        <f>IF(AND(Validator!J518=TRUE,Validator!J18=TRUE,Validator!J268,Validator!J268=TRUE,Validator!J768=TRUE,Validator!J1018=TRUE,Validator!J1268=TRUE),"Valid","Invalid")</f>
        <v>Valid</v>
      </c>
      <c r="C24" s="144"/>
      <c r="D24" s="364"/>
      <c r="E24" s="145"/>
      <c r="F24" s="580"/>
      <c r="G24" s="309"/>
      <c r="H24" s="580"/>
      <c r="I24" s="296"/>
      <c r="J24" s="376"/>
      <c r="K24" s="146"/>
      <c r="L24" s="539"/>
      <c r="M24" s="469"/>
      <c r="N24" s="373"/>
      <c r="O24" s="348" t="s">
        <v>280</v>
      </c>
      <c r="P24" s="349" t="s">
        <v>79</v>
      </c>
      <c r="Q24" s="516"/>
      <c r="R24" s="467"/>
      <c r="S24" s="517"/>
      <c r="T24" s="517"/>
      <c r="U24" s="171" t="str">
        <f>IF(ISERROR(VLOOKUP($T24, 'Reference data'!$J$2:$K$139, 2, FALSE)),"-",VLOOKUP($T24, 'Reference data'!$J$2:$K$139, 2, FALSE))</f>
        <v>-</v>
      </c>
      <c r="V24" s="147"/>
      <c r="W24" s="147"/>
      <c r="X24" s="471"/>
      <c r="Y24" s="472"/>
      <c r="Z24" s="352"/>
      <c r="AA24" s="520"/>
      <c r="AB24" s="163"/>
      <c r="AC24" s="148"/>
      <c r="AD24" s="145"/>
      <c r="AE24" s="348" t="s">
        <v>280</v>
      </c>
      <c r="AF24" s="354" t="s">
        <v>79</v>
      </c>
    </row>
    <row r="25" spans="2:32">
      <c r="B25" s="514" t="str">
        <f>IF(AND(Validator!J519=TRUE,Validator!J19=TRUE,Validator!J269,Validator!J269=TRUE,Validator!J769=TRUE,Validator!J1019=TRUE,Validator!J1269=TRUE),"Valid","Invalid")</f>
        <v>Valid</v>
      </c>
      <c r="C25" s="144"/>
      <c r="D25" s="364"/>
      <c r="E25" s="145"/>
      <c r="F25" s="580"/>
      <c r="G25" s="309"/>
      <c r="H25" s="580"/>
      <c r="I25" s="296"/>
      <c r="J25" s="376"/>
      <c r="K25" s="146"/>
      <c r="L25" s="539"/>
      <c r="M25" s="469"/>
      <c r="N25" s="373"/>
      <c r="O25" s="348" t="s">
        <v>280</v>
      </c>
      <c r="P25" s="349" t="s">
        <v>79</v>
      </c>
      <c r="Q25" s="516"/>
      <c r="R25" s="467"/>
      <c r="S25" s="517"/>
      <c r="T25" s="517"/>
      <c r="U25" s="171" t="str">
        <f>IF(ISERROR(VLOOKUP($T25, 'Reference data'!$J$2:$K$139, 2, FALSE)),"-",VLOOKUP($T25, 'Reference data'!$J$2:$K$139, 2, FALSE))</f>
        <v>-</v>
      </c>
      <c r="V25" s="147"/>
      <c r="W25" s="147"/>
      <c r="X25" s="471"/>
      <c r="Y25" s="472"/>
      <c r="Z25" s="352"/>
      <c r="AA25" s="520"/>
      <c r="AB25" s="163"/>
      <c r="AC25" s="148"/>
      <c r="AD25" s="145"/>
      <c r="AE25" s="348" t="s">
        <v>280</v>
      </c>
      <c r="AF25" s="354" t="s">
        <v>79</v>
      </c>
    </row>
    <row r="26" spans="2:32">
      <c r="B26" s="514" t="str">
        <f>IF(AND(Validator!J520=TRUE,Validator!J20=TRUE,Validator!J270,Validator!J270=TRUE,Validator!J770=TRUE,Validator!J1020=TRUE,Validator!J1270=TRUE),"Valid","Invalid")</f>
        <v>Valid</v>
      </c>
      <c r="C26" s="144"/>
      <c r="D26" s="364"/>
      <c r="E26" s="145"/>
      <c r="F26" s="580"/>
      <c r="G26" s="309"/>
      <c r="H26" s="580"/>
      <c r="I26" s="296"/>
      <c r="J26" s="376"/>
      <c r="K26" s="146"/>
      <c r="L26" s="539"/>
      <c r="M26" s="469"/>
      <c r="N26" s="373"/>
      <c r="O26" s="348" t="s">
        <v>280</v>
      </c>
      <c r="P26" s="349" t="s">
        <v>79</v>
      </c>
      <c r="Q26" s="516"/>
      <c r="R26" s="467"/>
      <c r="S26" s="517"/>
      <c r="T26" s="517"/>
      <c r="U26" s="171" t="str">
        <f>IF(ISERROR(VLOOKUP($T26, 'Reference data'!$J$2:$K$139, 2, FALSE)),"-",VLOOKUP($T26, 'Reference data'!$J$2:$K$139, 2, FALSE))</f>
        <v>-</v>
      </c>
      <c r="V26" s="147"/>
      <c r="W26" s="147"/>
      <c r="X26" s="471"/>
      <c r="Y26" s="472"/>
      <c r="Z26" s="352"/>
      <c r="AA26" s="520"/>
      <c r="AB26" s="163"/>
      <c r="AC26" s="148"/>
      <c r="AD26" s="145"/>
      <c r="AE26" s="348" t="s">
        <v>280</v>
      </c>
      <c r="AF26" s="354" t="s">
        <v>79</v>
      </c>
    </row>
    <row r="27" spans="2:32">
      <c r="B27" s="514" t="str">
        <f>IF(AND(Validator!J521=TRUE,Validator!J21=TRUE,Validator!J271,Validator!J271=TRUE,Validator!J771=TRUE,Validator!J1021=TRUE,Validator!J1271=TRUE),"Valid","Invalid")</f>
        <v>Valid</v>
      </c>
      <c r="C27" s="144"/>
      <c r="D27" s="364"/>
      <c r="E27" s="145"/>
      <c r="F27" s="580"/>
      <c r="G27" s="309"/>
      <c r="H27" s="580"/>
      <c r="I27" s="296"/>
      <c r="J27" s="376"/>
      <c r="K27" s="146"/>
      <c r="L27" s="539"/>
      <c r="M27" s="469"/>
      <c r="N27" s="373"/>
      <c r="O27" s="348" t="s">
        <v>280</v>
      </c>
      <c r="P27" s="349" t="s">
        <v>79</v>
      </c>
      <c r="Q27" s="516"/>
      <c r="R27" s="467"/>
      <c r="S27" s="517"/>
      <c r="T27" s="517"/>
      <c r="U27" s="171" t="str">
        <f>IF(ISERROR(VLOOKUP($T27, 'Reference data'!$J$2:$K$139, 2, FALSE)),"-",VLOOKUP($T27, 'Reference data'!$J$2:$K$139, 2, FALSE))</f>
        <v>-</v>
      </c>
      <c r="V27" s="147"/>
      <c r="W27" s="147"/>
      <c r="X27" s="471"/>
      <c r="Y27" s="472"/>
      <c r="Z27" s="352"/>
      <c r="AA27" s="520"/>
      <c r="AB27" s="163"/>
      <c r="AC27" s="148"/>
      <c r="AD27" s="145"/>
      <c r="AE27" s="348" t="s">
        <v>280</v>
      </c>
      <c r="AF27" s="354" t="s">
        <v>79</v>
      </c>
    </row>
    <row r="28" spans="2:32">
      <c r="B28" s="514" t="str">
        <f>IF(AND(Validator!J522=TRUE,Validator!J22=TRUE,Validator!J272,Validator!J272=TRUE,Validator!J772=TRUE,Validator!J1022=TRUE,Validator!J1272=TRUE),"Valid","Invalid")</f>
        <v>Valid</v>
      </c>
      <c r="C28" s="144"/>
      <c r="D28" s="364"/>
      <c r="E28" s="145"/>
      <c r="F28" s="580"/>
      <c r="G28" s="309"/>
      <c r="H28" s="580"/>
      <c r="I28" s="296"/>
      <c r="J28" s="376"/>
      <c r="K28" s="146"/>
      <c r="L28" s="539"/>
      <c r="M28" s="469"/>
      <c r="N28" s="373"/>
      <c r="O28" s="348" t="s">
        <v>280</v>
      </c>
      <c r="P28" s="349" t="s">
        <v>79</v>
      </c>
      <c r="Q28" s="516"/>
      <c r="R28" s="467"/>
      <c r="S28" s="517"/>
      <c r="T28" s="517"/>
      <c r="U28" s="171" t="str">
        <f>IF(ISERROR(VLOOKUP($T28, 'Reference data'!$J$2:$K$139, 2, FALSE)),"-",VLOOKUP($T28, 'Reference data'!$J$2:$K$139, 2, FALSE))</f>
        <v>-</v>
      </c>
      <c r="V28" s="147"/>
      <c r="W28" s="147"/>
      <c r="X28" s="471"/>
      <c r="Y28" s="472"/>
      <c r="Z28" s="352"/>
      <c r="AA28" s="520"/>
      <c r="AB28" s="163"/>
      <c r="AC28" s="148"/>
      <c r="AD28" s="145"/>
      <c r="AE28" s="348" t="s">
        <v>280</v>
      </c>
      <c r="AF28" s="354" t="s">
        <v>79</v>
      </c>
    </row>
    <row r="29" spans="2:32">
      <c r="B29" s="514" t="str">
        <f>IF(AND(Validator!J523=TRUE,Validator!J23=TRUE,Validator!J273,Validator!J273=TRUE,Validator!J773=TRUE,Validator!J1023=TRUE,Validator!J1273=TRUE),"Valid","Invalid")</f>
        <v>Valid</v>
      </c>
      <c r="C29" s="144"/>
      <c r="D29" s="364"/>
      <c r="E29" s="145"/>
      <c r="F29" s="580"/>
      <c r="G29" s="309"/>
      <c r="H29" s="580"/>
      <c r="I29" s="296"/>
      <c r="J29" s="376"/>
      <c r="K29" s="146"/>
      <c r="L29" s="539"/>
      <c r="M29" s="469"/>
      <c r="N29" s="373"/>
      <c r="O29" s="348" t="s">
        <v>280</v>
      </c>
      <c r="P29" s="349" t="s">
        <v>79</v>
      </c>
      <c r="Q29" s="516"/>
      <c r="R29" s="467"/>
      <c r="S29" s="517"/>
      <c r="T29" s="517"/>
      <c r="U29" s="171" t="str">
        <f>IF(ISERROR(VLOOKUP($T29, 'Reference data'!$J$2:$K$139, 2, FALSE)),"-",VLOOKUP($T29, 'Reference data'!$J$2:$K$139, 2, FALSE))</f>
        <v>-</v>
      </c>
      <c r="V29" s="147"/>
      <c r="W29" s="147"/>
      <c r="X29" s="471"/>
      <c r="Y29" s="472"/>
      <c r="Z29" s="352"/>
      <c r="AA29" s="520"/>
      <c r="AB29" s="163"/>
      <c r="AC29" s="148"/>
      <c r="AD29" s="145"/>
      <c r="AE29" s="348" t="s">
        <v>280</v>
      </c>
      <c r="AF29" s="354" t="s">
        <v>79</v>
      </c>
    </row>
    <row r="30" spans="2:32">
      <c r="B30" s="514" t="str">
        <f>IF(AND(Validator!J524=TRUE,Validator!J24=TRUE,Validator!J274,Validator!J274=TRUE,Validator!J774=TRUE,Validator!J1024=TRUE,Validator!J1274=TRUE),"Valid","Invalid")</f>
        <v>Valid</v>
      </c>
      <c r="C30" s="144"/>
      <c r="D30" s="364"/>
      <c r="E30" s="145"/>
      <c r="F30" s="580"/>
      <c r="G30" s="309"/>
      <c r="H30" s="580"/>
      <c r="I30" s="296"/>
      <c r="J30" s="376"/>
      <c r="K30" s="146"/>
      <c r="L30" s="539"/>
      <c r="M30" s="469"/>
      <c r="N30" s="373"/>
      <c r="O30" s="348" t="s">
        <v>280</v>
      </c>
      <c r="P30" s="349" t="s">
        <v>79</v>
      </c>
      <c r="Q30" s="516"/>
      <c r="R30" s="467"/>
      <c r="S30" s="517"/>
      <c r="T30" s="517"/>
      <c r="U30" s="171" t="str">
        <f>IF(ISERROR(VLOOKUP($T30, 'Reference data'!$J$2:$K$139, 2, FALSE)),"-",VLOOKUP($T30, 'Reference data'!$J$2:$K$139, 2, FALSE))</f>
        <v>-</v>
      </c>
      <c r="V30" s="147"/>
      <c r="W30" s="147"/>
      <c r="X30" s="471"/>
      <c r="Y30" s="472"/>
      <c r="Z30" s="352"/>
      <c r="AA30" s="520"/>
      <c r="AB30" s="163"/>
      <c r="AC30" s="148"/>
      <c r="AD30" s="145"/>
      <c r="AE30" s="348" t="s">
        <v>280</v>
      </c>
      <c r="AF30" s="354" t="s">
        <v>79</v>
      </c>
    </row>
    <row r="31" spans="2:32">
      <c r="B31" s="514" t="str">
        <f>IF(AND(Validator!J525=TRUE,Validator!J25=TRUE,Validator!J275,Validator!J275=TRUE,Validator!J775=TRUE,Validator!J1025=TRUE,Validator!J1275=TRUE),"Valid","Invalid")</f>
        <v>Valid</v>
      </c>
      <c r="C31" s="144"/>
      <c r="D31" s="364"/>
      <c r="E31" s="145"/>
      <c r="F31" s="580"/>
      <c r="G31" s="309"/>
      <c r="H31" s="580"/>
      <c r="I31" s="296"/>
      <c r="J31" s="376"/>
      <c r="K31" s="146"/>
      <c r="L31" s="539"/>
      <c r="M31" s="469"/>
      <c r="N31" s="373"/>
      <c r="O31" s="348" t="s">
        <v>280</v>
      </c>
      <c r="P31" s="349" t="s">
        <v>79</v>
      </c>
      <c r="Q31" s="516"/>
      <c r="R31" s="467"/>
      <c r="S31" s="517"/>
      <c r="T31" s="517"/>
      <c r="U31" s="171" t="str">
        <f>IF(ISERROR(VLOOKUP($T31, 'Reference data'!$J$2:$K$139, 2, FALSE)),"-",VLOOKUP($T31, 'Reference data'!$J$2:$K$139, 2, FALSE))</f>
        <v>-</v>
      </c>
      <c r="V31" s="147"/>
      <c r="W31" s="147"/>
      <c r="X31" s="471"/>
      <c r="Y31" s="472"/>
      <c r="Z31" s="352"/>
      <c r="AA31" s="520"/>
      <c r="AB31" s="163"/>
      <c r="AC31" s="148"/>
      <c r="AD31" s="145"/>
      <c r="AE31" s="348" t="s">
        <v>280</v>
      </c>
      <c r="AF31" s="354" t="s">
        <v>79</v>
      </c>
    </row>
    <row r="32" spans="2:32">
      <c r="B32" s="514" t="str">
        <f>IF(AND(Validator!J526=TRUE,Validator!J26=TRUE,Validator!J276,Validator!J276=TRUE,Validator!J776=TRUE,Validator!J1026=TRUE,Validator!J1276=TRUE),"Valid","Invalid")</f>
        <v>Valid</v>
      </c>
      <c r="C32" s="144"/>
      <c r="D32" s="364"/>
      <c r="E32" s="145"/>
      <c r="F32" s="580"/>
      <c r="G32" s="309"/>
      <c r="H32" s="580"/>
      <c r="I32" s="296"/>
      <c r="J32" s="376"/>
      <c r="K32" s="146"/>
      <c r="L32" s="539"/>
      <c r="M32" s="469"/>
      <c r="N32" s="373"/>
      <c r="O32" s="348" t="s">
        <v>280</v>
      </c>
      <c r="P32" s="349" t="s">
        <v>79</v>
      </c>
      <c r="Q32" s="516"/>
      <c r="R32" s="467"/>
      <c r="S32" s="517"/>
      <c r="T32" s="517"/>
      <c r="U32" s="171" t="str">
        <f>IF(ISERROR(VLOOKUP($T32, 'Reference data'!$J$2:$K$139, 2, FALSE)),"-",VLOOKUP($T32, 'Reference data'!$J$2:$K$139, 2, FALSE))</f>
        <v>-</v>
      </c>
      <c r="V32" s="147"/>
      <c r="W32" s="147"/>
      <c r="X32" s="471"/>
      <c r="Y32" s="472"/>
      <c r="Z32" s="352"/>
      <c r="AA32" s="520"/>
      <c r="AB32" s="163"/>
      <c r="AC32" s="148"/>
      <c r="AD32" s="145"/>
      <c r="AE32" s="348" t="s">
        <v>280</v>
      </c>
      <c r="AF32" s="354" t="s">
        <v>79</v>
      </c>
    </row>
    <row r="33" spans="2:32">
      <c r="B33" s="514" t="str">
        <f>IF(AND(Validator!J527=TRUE,Validator!J27=TRUE,Validator!J277,Validator!J277=TRUE,Validator!J777=TRUE,Validator!J1027=TRUE,Validator!J1277=TRUE),"Valid","Invalid")</f>
        <v>Valid</v>
      </c>
      <c r="C33" s="144"/>
      <c r="D33" s="364"/>
      <c r="E33" s="145"/>
      <c r="F33" s="580"/>
      <c r="G33" s="309"/>
      <c r="H33" s="580"/>
      <c r="I33" s="296"/>
      <c r="J33" s="376"/>
      <c r="K33" s="146"/>
      <c r="L33" s="539"/>
      <c r="M33" s="469"/>
      <c r="N33" s="373"/>
      <c r="O33" s="348" t="s">
        <v>280</v>
      </c>
      <c r="P33" s="349" t="s">
        <v>79</v>
      </c>
      <c r="Q33" s="516"/>
      <c r="R33" s="467"/>
      <c r="S33" s="517"/>
      <c r="T33" s="517"/>
      <c r="U33" s="171" t="str">
        <f>IF(ISERROR(VLOOKUP($T33, 'Reference data'!$J$2:$K$139, 2, FALSE)),"-",VLOOKUP($T33, 'Reference data'!$J$2:$K$139, 2, FALSE))</f>
        <v>-</v>
      </c>
      <c r="V33" s="147"/>
      <c r="W33" s="147"/>
      <c r="X33" s="471"/>
      <c r="Y33" s="472"/>
      <c r="Z33" s="352"/>
      <c r="AA33" s="520"/>
      <c r="AB33" s="163"/>
      <c r="AC33" s="148"/>
      <c r="AD33" s="145"/>
      <c r="AE33" s="348" t="s">
        <v>280</v>
      </c>
      <c r="AF33" s="354" t="s">
        <v>79</v>
      </c>
    </row>
    <row r="34" spans="2:32">
      <c r="B34" s="514" t="str">
        <f>IF(AND(Validator!J528=TRUE,Validator!J28=TRUE,Validator!J278,Validator!J278=TRUE,Validator!J778=TRUE,Validator!J1028=TRUE,Validator!J1278=TRUE),"Valid","Invalid")</f>
        <v>Valid</v>
      </c>
      <c r="C34" s="144"/>
      <c r="D34" s="364"/>
      <c r="E34" s="145"/>
      <c r="F34" s="580"/>
      <c r="G34" s="309"/>
      <c r="H34" s="580"/>
      <c r="I34" s="296"/>
      <c r="J34" s="376"/>
      <c r="K34" s="146"/>
      <c r="L34" s="539"/>
      <c r="M34" s="469"/>
      <c r="N34" s="373"/>
      <c r="O34" s="348" t="s">
        <v>280</v>
      </c>
      <c r="P34" s="349" t="s">
        <v>79</v>
      </c>
      <c r="Q34" s="516"/>
      <c r="R34" s="467"/>
      <c r="S34" s="517"/>
      <c r="T34" s="517"/>
      <c r="U34" s="171" t="str">
        <f>IF(ISERROR(VLOOKUP($T34, 'Reference data'!$J$2:$K$139, 2, FALSE)),"-",VLOOKUP($T34, 'Reference data'!$J$2:$K$139, 2, FALSE))</f>
        <v>-</v>
      </c>
      <c r="V34" s="147"/>
      <c r="W34" s="147"/>
      <c r="X34" s="471"/>
      <c r="Y34" s="472"/>
      <c r="Z34" s="352"/>
      <c r="AA34" s="520"/>
      <c r="AB34" s="163"/>
      <c r="AC34" s="148"/>
      <c r="AD34" s="145"/>
      <c r="AE34" s="348" t="s">
        <v>280</v>
      </c>
      <c r="AF34" s="354" t="s">
        <v>79</v>
      </c>
    </row>
    <row r="35" spans="2:32">
      <c r="B35" s="514" t="str">
        <f>IF(AND(Validator!J529=TRUE,Validator!J29=TRUE,Validator!J279,Validator!J279=TRUE,Validator!J779=TRUE,Validator!J1029=TRUE,Validator!J1279=TRUE),"Valid","Invalid")</f>
        <v>Valid</v>
      </c>
      <c r="C35" s="144"/>
      <c r="D35" s="364"/>
      <c r="E35" s="145"/>
      <c r="F35" s="580"/>
      <c r="G35" s="309"/>
      <c r="H35" s="580"/>
      <c r="I35" s="296"/>
      <c r="J35" s="376"/>
      <c r="K35" s="146"/>
      <c r="L35" s="539"/>
      <c r="M35" s="469"/>
      <c r="N35" s="373"/>
      <c r="O35" s="348" t="s">
        <v>280</v>
      </c>
      <c r="P35" s="349" t="s">
        <v>79</v>
      </c>
      <c r="Q35" s="516"/>
      <c r="R35" s="467"/>
      <c r="S35" s="517"/>
      <c r="T35" s="517"/>
      <c r="U35" s="171" t="str">
        <f>IF(ISERROR(VLOOKUP($T35, 'Reference data'!$J$2:$K$139, 2, FALSE)),"-",VLOOKUP($T35, 'Reference data'!$J$2:$K$139, 2, FALSE))</f>
        <v>-</v>
      </c>
      <c r="V35" s="147"/>
      <c r="W35" s="147"/>
      <c r="X35" s="471"/>
      <c r="Y35" s="472"/>
      <c r="Z35" s="352"/>
      <c r="AA35" s="520"/>
      <c r="AB35" s="163"/>
      <c r="AC35" s="148"/>
      <c r="AD35" s="145"/>
      <c r="AE35" s="348" t="s">
        <v>280</v>
      </c>
      <c r="AF35" s="354" t="s">
        <v>79</v>
      </c>
    </row>
    <row r="36" spans="2:32">
      <c r="B36" s="514" t="str">
        <f>IF(AND(Validator!J530=TRUE,Validator!J30=TRUE,Validator!J280,Validator!J280=TRUE,Validator!J780=TRUE,Validator!J1030=TRUE,Validator!J1280=TRUE),"Valid","Invalid")</f>
        <v>Valid</v>
      </c>
      <c r="C36" s="144"/>
      <c r="D36" s="364"/>
      <c r="E36" s="145"/>
      <c r="F36" s="580"/>
      <c r="G36" s="309"/>
      <c r="H36" s="580"/>
      <c r="I36" s="296"/>
      <c r="J36" s="376"/>
      <c r="K36" s="146"/>
      <c r="L36" s="539"/>
      <c r="M36" s="469"/>
      <c r="N36" s="373"/>
      <c r="O36" s="348" t="s">
        <v>280</v>
      </c>
      <c r="P36" s="349" t="s">
        <v>79</v>
      </c>
      <c r="Q36" s="516"/>
      <c r="R36" s="467"/>
      <c r="S36" s="517"/>
      <c r="T36" s="517"/>
      <c r="U36" s="171" t="str">
        <f>IF(ISERROR(VLOOKUP($T36, 'Reference data'!$J$2:$K$139, 2, FALSE)),"-",VLOOKUP($T36, 'Reference data'!$J$2:$K$139, 2, FALSE))</f>
        <v>-</v>
      </c>
      <c r="V36" s="147"/>
      <c r="W36" s="147"/>
      <c r="X36" s="471"/>
      <c r="Y36" s="472"/>
      <c r="Z36" s="352"/>
      <c r="AA36" s="520"/>
      <c r="AB36" s="163"/>
      <c r="AC36" s="148"/>
      <c r="AD36" s="145"/>
      <c r="AE36" s="348" t="s">
        <v>280</v>
      </c>
      <c r="AF36" s="354" t="s">
        <v>79</v>
      </c>
    </row>
    <row r="37" spans="2:32">
      <c r="B37" s="514" t="str">
        <f>IF(AND(Validator!J531=TRUE,Validator!J31=TRUE,Validator!J281,Validator!J281=TRUE,Validator!J781=TRUE,Validator!J1031=TRUE,Validator!J1281=TRUE),"Valid","Invalid")</f>
        <v>Valid</v>
      </c>
      <c r="C37" s="144"/>
      <c r="D37" s="364"/>
      <c r="E37" s="145"/>
      <c r="F37" s="580"/>
      <c r="G37" s="309"/>
      <c r="H37" s="580"/>
      <c r="I37" s="296"/>
      <c r="J37" s="376"/>
      <c r="K37" s="146"/>
      <c r="L37" s="539"/>
      <c r="M37" s="469"/>
      <c r="N37" s="373"/>
      <c r="O37" s="348" t="s">
        <v>280</v>
      </c>
      <c r="P37" s="349" t="s">
        <v>79</v>
      </c>
      <c r="Q37" s="516"/>
      <c r="R37" s="467"/>
      <c r="S37" s="517"/>
      <c r="T37" s="517"/>
      <c r="U37" s="171" t="str">
        <f>IF(ISERROR(VLOOKUP($T37, 'Reference data'!$J$2:$K$139, 2, FALSE)),"-",VLOOKUP($T37, 'Reference data'!$J$2:$K$139, 2, FALSE))</f>
        <v>-</v>
      </c>
      <c r="V37" s="147"/>
      <c r="W37" s="147"/>
      <c r="X37" s="471"/>
      <c r="Y37" s="472"/>
      <c r="Z37" s="352"/>
      <c r="AA37" s="520"/>
      <c r="AB37" s="163"/>
      <c r="AC37" s="148"/>
      <c r="AD37" s="145"/>
      <c r="AE37" s="348" t="s">
        <v>280</v>
      </c>
      <c r="AF37" s="354" t="s">
        <v>79</v>
      </c>
    </row>
    <row r="38" spans="2:32">
      <c r="B38" s="514" t="str">
        <f>IF(AND(Validator!J532=TRUE,Validator!J32=TRUE,Validator!J282,Validator!J282=TRUE,Validator!J782=TRUE,Validator!J1032=TRUE,Validator!J1282=TRUE),"Valid","Invalid")</f>
        <v>Valid</v>
      </c>
      <c r="C38" s="144"/>
      <c r="D38" s="364"/>
      <c r="E38" s="145"/>
      <c r="F38" s="580"/>
      <c r="G38" s="309"/>
      <c r="H38" s="580"/>
      <c r="I38" s="296"/>
      <c r="J38" s="376"/>
      <c r="K38" s="146"/>
      <c r="L38" s="539"/>
      <c r="M38" s="469"/>
      <c r="N38" s="373"/>
      <c r="O38" s="348" t="s">
        <v>280</v>
      </c>
      <c r="P38" s="349" t="s">
        <v>79</v>
      </c>
      <c r="Q38" s="516"/>
      <c r="R38" s="467"/>
      <c r="S38" s="517"/>
      <c r="T38" s="517"/>
      <c r="U38" s="171" t="str">
        <f>IF(ISERROR(VLOOKUP($T38, 'Reference data'!$J$2:$K$139, 2, FALSE)),"-",VLOOKUP($T38, 'Reference data'!$J$2:$K$139, 2, FALSE))</f>
        <v>-</v>
      </c>
      <c r="V38" s="147"/>
      <c r="W38" s="147"/>
      <c r="X38" s="471"/>
      <c r="Y38" s="472"/>
      <c r="Z38" s="352"/>
      <c r="AA38" s="520"/>
      <c r="AB38" s="163"/>
      <c r="AC38" s="148"/>
      <c r="AD38" s="145"/>
      <c r="AE38" s="348" t="s">
        <v>280</v>
      </c>
      <c r="AF38" s="354" t="s">
        <v>79</v>
      </c>
    </row>
    <row r="39" spans="2:32">
      <c r="B39" s="514" t="str">
        <f>IF(AND(Validator!J533=TRUE,Validator!J33=TRUE,Validator!J283,Validator!J283=TRUE,Validator!J783=TRUE,Validator!J1033=TRUE,Validator!J1283=TRUE),"Valid","Invalid")</f>
        <v>Valid</v>
      </c>
      <c r="C39" s="144"/>
      <c r="D39" s="364"/>
      <c r="E39" s="145"/>
      <c r="F39" s="580"/>
      <c r="G39" s="309"/>
      <c r="H39" s="580"/>
      <c r="I39" s="296"/>
      <c r="J39" s="376"/>
      <c r="K39" s="146"/>
      <c r="L39" s="539"/>
      <c r="M39" s="469"/>
      <c r="N39" s="373"/>
      <c r="O39" s="348" t="s">
        <v>280</v>
      </c>
      <c r="P39" s="349" t="s">
        <v>79</v>
      </c>
      <c r="Q39" s="516"/>
      <c r="R39" s="467"/>
      <c r="S39" s="517"/>
      <c r="T39" s="517"/>
      <c r="U39" s="171" t="str">
        <f>IF(ISERROR(VLOOKUP($T39, 'Reference data'!$J$2:$K$139, 2, FALSE)),"-",VLOOKUP($T39, 'Reference data'!$J$2:$K$139, 2, FALSE))</f>
        <v>-</v>
      </c>
      <c r="V39" s="147"/>
      <c r="W39" s="147"/>
      <c r="X39" s="471"/>
      <c r="Y39" s="472"/>
      <c r="Z39" s="352"/>
      <c r="AA39" s="520"/>
      <c r="AB39" s="163"/>
      <c r="AC39" s="148"/>
      <c r="AD39" s="145"/>
      <c r="AE39" s="348" t="s">
        <v>280</v>
      </c>
      <c r="AF39" s="354" t="s">
        <v>79</v>
      </c>
    </row>
    <row r="40" spans="2:32">
      <c r="B40" s="514" t="str">
        <f>IF(AND(Validator!J534=TRUE,Validator!J34=TRUE,Validator!J284,Validator!J284=TRUE,Validator!J784=TRUE,Validator!J1034=TRUE,Validator!J1284=TRUE),"Valid","Invalid")</f>
        <v>Valid</v>
      </c>
      <c r="C40" s="144"/>
      <c r="D40" s="364"/>
      <c r="E40" s="145"/>
      <c r="F40" s="580"/>
      <c r="G40" s="309"/>
      <c r="H40" s="580"/>
      <c r="I40" s="296"/>
      <c r="J40" s="376"/>
      <c r="K40" s="146"/>
      <c r="L40" s="539"/>
      <c r="M40" s="469"/>
      <c r="N40" s="373"/>
      <c r="O40" s="348" t="s">
        <v>280</v>
      </c>
      <c r="P40" s="349" t="s">
        <v>79</v>
      </c>
      <c r="Q40" s="516"/>
      <c r="R40" s="467"/>
      <c r="S40" s="517"/>
      <c r="T40" s="517"/>
      <c r="U40" s="171" t="str">
        <f>IF(ISERROR(VLOOKUP($T40, 'Reference data'!$J$2:$K$139, 2, FALSE)),"-",VLOOKUP($T40, 'Reference data'!$J$2:$K$139, 2, FALSE))</f>
        <v>-</v>
      </c>
      <c r="V40" s="147"/>
      <c r="W40" s="147"/>
      <c r="X40" s="471"/>
      <c r="Y40" s="472"/>
      <c r="Z40" s="352"/>
      <c r="AA40" s="520"/>
      <c r="AB40" s="163"/>
      <c r="AC40" s="148"/>
      <c r="AD40" s="145"/>
      <c r="AE40" s="348" t="s">
        <v>280</v>
      </c>
      <c r="AF40" s="354" t="s">
        <v>79</v>
      </c>
    </row>
    <row r="41" spans="2:32">
      <c r="B41" s="514" t="str">
        <f>IF(AND(Validator!J535=TRUE,Validator!J35=TRUE,Validator!J285,Validator!J285=TRUE,Validator!J785=TRUE,Validator!J1035=TRUE,Validator!J1285=TRUE),"Valid","Invalid")</f>
        <v>Valid</v>
      </c>
      <c r="C41" s="144"/>
      <c r="D41" s="364"/>
      <c r="E41" s="145"/>
      <c r="F41" s="580"/>
      <c r="G41" s="309"/>
      <c r="H41" s="580"/>
      <c r="I41" s="296"/>
      <c r="J41" s="376"/>
      <c r="K41" s="146"/>
      <c r="L41" s="539"/>
      <c r="M41" s="469"/>
      <c r="N41" s="373"/>
      <c r="O41" s="348" t="s">
        <v>280</v>
      </c>
      <c r="P41" s="349" t="s">
        <v>79</v>
      </c>
      <c r="Q41" s="516"/>
      <c r="R41" s="467"/>
      <c r="S41" s="517"/>
      <c r="T41" s="517"/>
      <c r="U41" s="171" t="str">
        <f>IF(ISERROR(VLOOKUP($T41, 'Reference data'!$J$2:$K$139, 2, FALSE)),"-",VLOOKUP($T41, 'Reference data'!$J$2:$K$139, 2, FALSE))</f>
        <v>-</v>
      </c>
      <c r="V41" s="147"/>
      <c r="W41" s="147"/>
      <c r="X41" s="471"/>
      <c r="Y41" s="472"/>
      <c r="Z41" s="352"/>
      <c r="AA41" s="520"/>
      <c r="AB41" s="163"/>
      <c r="AC41" s="148"/>
      <c r="AD41" s="145"/>
      <c r="AE41" s="348" t="s">
        <v>280</v>
      </c>
      <c r="AF41" s="354" t="s">
        <v>79</v>
      </c>
    </row>
    <row r="42" spans="2:32">
      <c r="B42" s="514" t="str">
        <f>IF(AND(Validator!J536=TRUE,Validator!J36=TRUE,Validator!J286,Validator!J286=TRUE,Validator!J786=TRUE,Validator!J1036=TRUE,Validator!J1286=TRUE),"Valid","Invalid")</f>
        <v>Valid</v>
      </c>
      <c r="C42" s="144"/>
      <c r="D42" s="364"/>
      <c r="E42" s="145"/>
      <c r="F42" s="580"/>
      <c r="G42" s="309"/>
      <c r="H42" s="580"/>
      <c r="I42" s="296"/>
      <c r="J42" s="376"/>
      <c r="K42" s="146"/>
      <c r="L42" s="539"/>
      <c r="M42" s="469"/>
      <c r="N42" s="373"/>
      <c r="O42" s="348" t="s">
        <v>280</v>
      </c>
      <c r="P42" s="349" t="s">
        <v>79</v>
      </c>
      <c r="Q42" s="516"/>
      <c r="R42" s="467"/>
      <c r="S42" s="517"/>
      <c r="T42" s="517"/>
      <c r="U42" s="171" t="str">
        <f>IF(ISERROR(VLOOKUP($T42, 'Reference data'!$J$2:$K$139, 2, FALSE)),"-",VLOOKUP($T42, 'Reference data'!$J$2:$K$139, 2, FALSE))</f>
        <v>-</v>
      </c>
      <c r="V42" s="147"/>
      <c r="W42" s="147"/>
      <c r="X42" s="471"/>
      <c r="Y42" s="472"/>
      <c r="Z42" s="352"/>
      <c r="AA42" s="520"/>
      <c r="AB42" s="163"/>
      <c r="AC42" s="148"/>
      <c r="AD42" s="145"/>
      <c r="AE42" s="348" t="s">
        <v>280</v>
      </c>
      <c r="AF42" s="354" t="s">
        <v>79</v>
      </c>
    </row>
    <row r="43" spans="2:32">
      <c r="B43" s="514" t="str">
        <f>IF(AND(Validator!J537=TRUE,Validator!J37=TRUE,Validator!J287,Validator!J287=TRUE,Validator!J787=TRUE,Validator!J1037=TRUE,Validator!J1287=TRUE),"Valid","Invalid")</f>
        <v>Valid</v>
      </c>
      <c r="C43" s="144"/>
      <c r="D43" s="364"/>
      <c r="E43" s="145"/>
      <c r="F43" s="580"/>
      <c r="G43" s="309"/>
      <c r="H43" s="580"/>
      <c r="I43" s="296"/>
      <c r="J43" s="376"/>
      <c r="K43" s="146"/>
      <c r="L43" s="539"/>
      <c r="M43" s="469"/>
      <c r="N43" s="373"/>
      <c r="O43" s="348" t="s">
        <v>280</v>
      </c>
      <c r="P43" s="349" t="s">
        <v>79</v>
      </c>
      <c r="Q43" s="516"/>
      <c r="R43" s="467"/>
      <c r="S43" s="517"/>
      <c r="T43" s="517"/>
      <c r="U43" s="171" t="str">
        <f>IF(ISERROR(VLOOKUP($T43, 'Reference data'!$J$2:$K$139, 2, FALSE)),"-",VLOOKUP($T43, 'Reference data'!$J$2:$K$139, 2, FALSE))</f>
        <v>-</v>
      </c>
      <c r="V43" s="147"/>
      <c r="W43" s="147"/>
      <c r="X43" s="471"/>
      <c r="Y43" s="472"/>
      <c r="Z43" s="352"/>
      <c r="AA43" s="520"/>
      <c r="AB43" s="163"/>
      <c r="AC43" s="148"/>
      <c r="AD43" s="145"/>
      <c r="AE43" s="348" t="s">
        <v>280</v>
      </c>
      <c r="AF43" s="354" t="s">
        <v>79</v>
      </c>
    </row>
    <row r="44" spans="2:32">
      <c r="B44" s="514" t="str">
        <f>IF(AND(Validator!J538=TRUE,Validator!J38=TRUE,Validator!J288,Validator!J288=TRUE,Validator!J788=TRUE,Validator!J1038=TRUE,Validator!J1288=TRUE),"Valid","Invalid")</f>
        <v>Valid</v>
      </c>
      <c r="C44" s="144"/>
      <c r="D44" s="364"/>
      <c r="E44" s="145"/>
      <c r="F44" s="580"/>
      <c r="G44" s="309"/>
      <c r="H44" s="580"/>
      <c r="I44" s="296"/>
      <c r="J44" s="376"/>
      <c r="K44" s="146"/>
      <c r="L44" s="539"/>
      <c r="M44" s="469"/>
      <c r="N44" s="373"/>
      <c r="O44" s="348" t="s">
        <v>280</v>
      </c>
      <c r="P44" s="349" t="s">
        <v>79</v>
      </c>
      <c r="Q44" s="516"/>
      <c r="R44" s="467"/>
      <c r="S44" s="517"/>
      <c r="T44" s="517"/>
      <c r="U44" s="171" t="str">
        <f>IF(ISERROR(VLOOKUP($T44, 'Reference data'!$J$2:$K$139, 2, FALSE)),"-",VLOOKUP($T44, 'Reference data'!$J$2:$K$139, 2, FALSE))</f>
        <v>-</v>
      </c>
      <c r="V44" s="147"/>
      <c r="W44" s="147"/>
      <c r="X44" s="471"/>
      <c r="Y44" s="472"/>
      <c r="Z44" s="352"/>
      <c r="AA44" s="520"/>
      <c r="AB44" s="163"/>
      <c r="AC44" s="148"/>
      <c r="AD44" s="145"/>
      <c r="AE44" s="348" t="s">
        <v>280</v>
      </c>
      <c r="AF44" s="354" t="s">
        <v>79</v>
      </c>
    </row>
    <row r="45" spans="2:32">
      <c r="B45" s="514" t="str">
        <f>IF(AND(Validator!J539=TRUE,Validator!J39=TRUE,Validator!J289,Validator!J289=TRUE,Validator!J789=TRUE,Validator!J1039=TRUE,Validator!J1289=TRUE),"Valid","Invalid")</f>
        <v>Valid</v>
      </c>
      <c r="C45" s="144"/>
      <c r="D45" s="364"/>
      <c r="E45" s="145"/>
      <c r="F45" s="580"/>
      <c r="G45" s="309"/>
      <c r="H45" s="580"/>
      <c r="I45" s="296"/>
      <c r="J45" s="376"/>
      <c r="K45" s="146"/>
      <c r="L45" s="539"/>
      <c r="M45" s="469"/>
      <c r="N45" s="373"/>
      <c r="O45" s="348" t="s">
        <v>280</v>
      </c>
      <c r="P45" s="349" t="s">
        <v>79</v>
      </c>
      <c r="Q45" s="516"/>
      <c r="R45" s="467"/>
      <c r="S45" s="517"/>
      <c r="T45" s="517"/>
      <c r="U45" s="171" t="str">
        <f>IF(ISERROR(VLOOKUP($T45, 'Reference data'!$J$2:$K$139, 2, FALSE)),"-",VLOOKUP($T45, 'Reference data'!$J$2:$K$139, 2, FALSE))</f>
        <v>-</v>
      </c>
      <c r="V45" s="147"/>
      <c r="W45" s="147"/>
      <c r="X45" s="471"/>
      <c r="Y45" s="472"/>
      <c r="Z45" s="352"/>
      <c r="AA45" s="520"/>
      <c r="AB45" s="163"/>
      <c r="AC45" s="148"/>
      <c r="AD45" s="145"/>
      <c r="AE45" s="348" t="s">
        <v>280</v>
      </c>
      <c r="AF45" s="354" t="s">
        <v>79</v>
      </c>
    </row>
    <row r="46" spans="2:32">
      <c r="B46" s="514" t="str">
        <f>IF(AND(Validator!J540=TRUE,Validator!J40=TRUE,Validator!J290,Validator!J290=TRUE,Validator!J790=TRUE,Validator!J1040=TRUE,Validator!J1290=TRUE),"Valid","Invalid")</f>
        <v>Valid</v>
      </c>
      <c r="C46" s="144"/>
      <c r="D46" s="364"/>
      <c r="E46" s="145"/>
      <c r="F46" s="580"/>
      <c r="G46" s="309"/>
      <c r="H46" s="580"/>
      <c r="I46" s="296"/>
      <c r="J46" s="376"/>
      <c r="K46" s="146"/>
      <c r="L46" s="539"/>
      <c r="M46" s="469"/>
      <c r="N46" s="373"/>
      <c r="O46" s="348" t="s">
        <v>280</v>
      </c>
      <c r="P46" s="349" t="s">
        <v>79</v>
      </c>
      <c r="Q46" s="516"/>
      <c r="R46" s="467"/>
      <c r="S46" s="517"/>
      <c r="T46" s="517"/>
      <c r="U46" s="171" t="str">
        <f>IF(ISERROR(VLOOKUP($T46, 'Reference data'!$J$2:$K$139, 2, FALSE)),"-",VLOOKUP($T46, 'Reference data'!$J$2:$K$139, 2, FALSE))</f>
        <v>-</v>
      </c>
      <c r="V46" s="147"/>
      <c r="W46" s="147"/>
      <c r="X46" s="471"/>
      <c r="Y46" s="472"/>
      <c r="Z46" s="352"/>
      <c r="AA46" s="520"/>
      <c r="AB46" s="163"/>
      <c r="AC46" s="148"/>
      <c r="AD46" s="145"/>
      <c r="AE46" s="348" t="s">
        <v>280</v>
      </c>
      <c r="AF46" s="354" t="s">
        <v>79</v>
      </c>
    </row>
    <row r="47" spans="2:32">
      <c r="B47" s="514" t="str">
        <f>IF(AND(Validator!J541=TRUE,Validator!J41=TRUE,Validator!J291,Validator!J291=TRUE,Validator!J791=TRUE,Validator!J1041=TRUE,Validator!J1291=TRUE),"Valid","Invalid")</f>
        <v>Valid</v>
      </c>
      <c r="C47" s="144"/>
      <c r="D47" s="364"/>
      <c r="E47" s="145"/>
      <c r="F47" s="580"/>
      <c r="G47" s="309"/>
      <c r="H47" s="580"/>
      <c r="I47" s="296"/>
      <c r="J47" s="376"/>
      <c r="K47" s="146"/>
      <c r="L47" s="539"/>
      <c r="M47" s="469"/>
      <c r="N47" s="373"/>
      <c r="O47" s="348" t="s">
        <v>280</v>
      </c>
      <c r="P47" s="349" t="s">
        <v>79</v>
      </c>
      <c r="Q47" s="516"/>
      <c r="R47" s="467"/>
      <c r="S47" s="517"/>
      <c r="T47" s="517"/>
      <c r="U47" s="171" t="str">
        <f>IF(ISERROR(VLOOKUP($T47, 'Reference data'!$J$2:$K$139, 2, FALSE)),"-",VLOOKUP($T47, 'Reference data'!$J$2:$K$139, 2, FALSE))</f>
        <v>-</v>
      </c>
      <c r="V47" s="147"/>
      <c r="W47" s="147"/>
      <c r="X47" s="471"/>
      <c r="Y47" s="472"/>
      <c r="Z47" s="352"/>
      <c r="AA47" s="520"/>
      <c r="AB47" s="163"/>
      <c r="AC47" s="148"/>
      <c r="AD47" s="145"/>
      <c r="AE47" s="348" t="s">
        <v>280</v>
      </c>
      <c r="AF47" s="354" t="s">
        <v>79</v>
      </c>
    </row>
    <row r="48" spans="2:32">
      <c r="B48" s="514" t="str">
        <f>IF(AND(Validator!J542=TRUE,Validator!J42=TRUE,Validator!J292,Validator!J292=TRUE,Validator!J792=TRUE,Validator!J1042=TRUE,Validator!J1292=TRUE),"Valid","Invalid")</f>
        <v>Valid</v>
      </c>
      <c r="C48" s="144"/>
      <c r="D48" s="364"/>
      <c r="E48" s="145"/>
      <c r="F48" s="580"/>
      <c r="G48" s="309"/>
      <c r="H48" s="580"/>
      <c r="I48" s="296"/>
      <c r="J48" s="376"/>
      <c r="K48" s="146"/>
      <c r="L48" s="539"/>
      <c r="M48" s="469"/>
      <c r="N48" s="373"/>
      <c r="O48" s="348" t="s">
        <v>280</v>
      </c>
      <c r="P48" s="349" t="s">
        <v>79</v>
      </c>
      <c r="Q48" s="516"/>
      <c r="R48" s="467"/>
      <c r="S48" s="517"/>
      <c r="T48" s="517"/>
      <c r="U48" s="171" t="str">
        <f>IF(ISERROR(VLOOKUP($T48, 'Reference data'!$J$2:$K$139, 2, FALSE)),"-",VLOOKUP($T48, 'Reference data'!$J$2:$K$139, 2, FALSE))</f>
        <v>-</v>
      </c>
      <c r="V48" s="147"/>
      <c r="W48" s="147"/>
      <c r="X48" s="471"/>
      <c r="Y48" s="472"/>
      <c r="Z48" s="352"/>
      <c r="AA48" s="520"/>
      <c r="AB48" s="163"/>
      <c r="AC48" s="148"/>
      <c r="AD48" s="145"/>
      <c r="AE48" s="348" t="s">
        <v>280</v>
      </c>
      <c r="AF48" s="354" t="s">
        <v>79</v>
      </c>
    </row>
    <row r="49" spans="2:32">
      <c r="B49" s="514" t="str">
        <f>IF(AND(Validator!J543=TRUE,Validator!J43=TRUE,Validator!J293,Validator!J293=TRUE,Validator!J793=TRUE,Validator!J1043=TRUE,Validator!J1293=TRUE),"Valid","Invalid")</f>
        <v>Valid</v>
      </c>
      <c r="C49" s="144"/>
      <c r="D49" s="364"/>
      <c r="E49" s="145"/>
      <c r="F49" s="580"/>
      <c r="G49" s="309"/>
      <c r="H49" s="580"/>
      <c r="I49" s="296"/>
      <c r="J49" s="376"/>
      <c r="K49" s="146"/>
      <c r="L49" s="539"/>
      <c r="M49" s="469"/>
      <c r="N49" s="373"/>
      <c r="O49" s="348" t="s">
        <v>280</v>
      </c>
      <c r="P49" s="349" t="s">
        <v>79</v>
      </c>
      <c r="Q49" s="516"/>
      <c r="R49" s="467"/>
      <c r="S49" s="517"/>
      <c r="T49" s="517"/>
      <c r="U49" s="171" t="str">
        <f>IF(ISERROR(VLOOKUP($T49, 'Reference data'!$J$2:$K$139, 2, FALSE)),"-",VLOOKUP($T49, 'Reference data'!$J$2:$K$139, 2, FALSE))</f>
        <v>-</v>
      </c>
      <c r="V49" s="147"/>
      <c r="W49" s="147"/>
      <c r="X49" s="471"/>
      <c r="Y49" s="472"/>
      <c r="Z49" s="352"/>
      <c r="AA49" s="520"/>
      <c r="AB49" s="163"/>
      <c r="AC49" s="148"/>
      <c r="AD49" s="145"/>
      <c r="AE49" s="348" t="s">
        <v>280</v>
      </c>
      <c r="AF49" s="354" t="s">
        <v>79</v>
      </c>
    </row>
    <row r="50" spans="2:32">
      <c r="B50" s="514" t="str">
        <f>IF(AND(Validator!J544=TRUE,Validator!J44=TRUE,Validator!J294,Validator!J294=TRUE,Validator!J794=TRUE,Validator!J1044=TRUE,Validator!J1294=TRUE),"Valid","Invalid")</f>
        <v>Valid</v>
      </c>
      <c r="C50" s="144"/>
      <c r="D50" s="364"/>
      <c r="E50" s="145"/>
      <c r="F50" s="580"/>
      <c r="G50" s="309"/>
      <c r="H50" s="580"/>
      <c r="I50" s="296"/>
      <c r="J50" s="376"/>
      <c r="K50" s="146"/>
      <c r="L50" s="539"/>
      <c r="M50" s="469"/>
      <c r="N50" s="373"/>
      <c r="O50" s="348" t="s">
        <v>280</v>
      </c>
      <c r="P50" s="349" t="s">
        <v>79</v>
      </c>
      <c r="Q50" s="516"/>
      <c r="R50" s="467"/>
      <c r="S50" s="517"/>
      <c r="T50" s="517"/>
      <c r="U50" s="171" t="str">
        <f>IF(ISERROR(VLOOKUP($T50, 'Reference data'!$J$2:$K$139, 2, FALSE)),"-",VLOOKUP($T50, 'Reference data'!$J$2:$K$139, 2, FALSE))</f>
        <v>-</v>
      </c>
      <c r="V50" s="147"/>
      <c r="W50" s="147"/>
      <c r="X50" s="471"/>
      <c r="Y50" s="472"/>
      <c r="Z50" s="352"/>
      <c r="AA50" s="520"/>
      <c r="AB50" s="163"/>
      <c r="AC50" s="148"/>
      <c r="AD50" s="145"/>
      <c r="AE50" s="348" t="s">
        <v>280</v>
      </c>
      <c r="AF50" s="354" t="s">
        <v>79</v>
      </c>
    </row>
    <row r="51" spans="2:32">
      <c r="B51" s="514" t="str">
        <f>IF(AND(Validator!J545=TRUE,Validator!J45=TRUE,Validator!J295,Validator!J295=TRUE,Validator!J795=TRUE,Validator!J1045=TRUE,Validator!J1295=TRUE),"Valid","Invalid")</f>
        <v>Valid</v>
      </c>
      <c r="C51" s="144"/>
      <c r="D51" s="364"/>
      <c r="E51" s="145"/>
      <c r="F51" s="580"/>
      <c r="G51" s="309"/>
      <c r="H51" s="580"/>
      <c r="I51" s="296"/>
      <c r="J51" s="376"/>
      <c r="K51" s="146"/>
      <c r="L51" s="539"/>
      <c r="M51" s="469"/>
      <c r="N51" s="373"/>
      <c r="O51" s="348" t="s">
        <v>280</v>
      </c>
      <c r="P51" s="349" t="s">
        <v>79</v>
      </c>
      <c r="Q51" s="516"/>
      <c r="R51" s="467"/>
      <c r="S51" s="517"/>
      <c r="T51" s="517"/>
      <c r="U51" s="171" t="str">
        <f>IF(ISERROR(VLOOKUP($T51, 'Reference data'!$J$2:$K$139, 2, FALSE)),"-",VLOOKUP($T51, 'Reference data'!$J$2:$K$139, 2, FALSE))</f>
        <v>-</v>
      </c>
      <c r="V51" s="147"/>
      <c r="W51" s="147"/>
      <c r="X51" s="471"/>
      <c r="Y51" s="472"/>
      <c r="Z51" s="352"/>
      <c r="AA51" s="520"/>
      <c r="AB51" s="163"/>
      <c r="AC51" s="148"/>
      <c r="AD51" s="145"/>
      <c r="AE51" s="348" t="s">
        <v>280</v>
      </c>
      <c r="AF51" s="354" t="s">
        <v>79</v>
      </c>
    </row>
    <row r="52" spans="2:32">
      <c r="B52" s="514" t="str">
        <f>IF(AND(Validator!J546=TRUE,Validator!J46=TRUE,Validator!J296,Validator!J296=TRUE,Validator!J796=TRUE,Validator!J1046=TRUE,Validator!J1296=TRUE),"Valid","Invalid")</f>
        <v>Valid</v>
      </c>
      <c r="C52" s="144"/>
      <c r="D52" s="364"/>
      <c r="E52" s="145"/>
      <c r="F52" s="580"/>
      <c r="G52" s="309"/>
      <c r="H52" s="580"/>
      <c r="I52" s="296"/>
      <c r="J52" s="376"/>
      <c r="K52" s="146"/>
      <c r="L52" s="539"/>
      <c r="M52" s="469"/>
      <c r="N52" s="373"/>
      <c r="O52" s="348" t="s">
        <v>280</v>
      </c>
      <c r="P52" s="349" t="s">
        <v>79</v>
      </c>
      <c r="Q52" s="516"/>
      <c r="R52" s="467"/>
      <c r="S52" s="517"/>
      <c r="T52" s="517"/>
      <c r="U52" s="171" t="str">
        <f>IF(ISERROR(VLOOKUP($T52, 'Reference data'!$J$2:$K$139, 2, FALSE)),"-",VLOOKUP($T52, 'Reference data'!$J$2:$K$139, 2, FALSE))</f>
        <v>-</v>
      </c>
      <c r="V52" s="147"/>
      <c r="W52" s="147"/>
      <c r="X52" s="471"/>
      <c r="Y52" s="472"/>
      <c r="Z52" s="352"/>
      <c r="AA52" s="520"/>
      <c r="AB52" s="163"/>
      <c r="AC52" s="148"/>
      <c r="AD52" s="145"/>
      <c r="AE52" s="348" t="s">
        <v>280</v>
      </c>
      <c r="AF52" s="354" t="s">
        <v>79</v>
      </c>
    </row>
    <row r="53" spans="2:32">
      <c r="B53" s="514" t="str">
        <f>IF(AND(Validator!J547=TRUE,Validator!J47=TRUE,Validator!J297,Validator!J297=TRUE,Validator!J797=TRUE,Validator!J1047=TRUE,Validator!J1297=TRUE),"Valid","Invalid")</f>
        <v>Valid</v>
      </c>
      <c r="C53" s="144"/>
      <c r="D53" s="364"/>
      <c r="E53" s="145"/>
      <c r="F53" s="580"/>
      <c r="G53" s="309"/>
      <c r="H53" s="580"/>
      <c r="I53" s="296"/>
      <c r="J53" s="376"/>
      <c r="K53" s="146"/>
      <c r="L53" s="539"/>
      <c r="M53" s="469"/>
      <c r="N53" s="373"/>
      <c r="O53" s="348" t="s">
        <v>280</v>
      </c>
      <c r="P53" s="349" t="s">
        <v>79</v>
      </c>
      <c r="Q53" s="516"/>
      <c r="R53" s="467"/>
      <c r="S53" s="517"/>
      <c r="T53" s="517"/>
      <c r="U53" s="171" t="str">
        <f>IF(ISERROR(VLOOKUP($T53, 'Reference data'!$J$2:$K$139, 2, FALSE)),"-",VLOOKUP($T53, 'Reference data'!$J$2:$K$139, 2, FALSE))</f>
        <v>-</v>
      </c>
      <c r="V53" s="147"/>
      <c r="W53" s="147"/>
      <c r="X53" s="471"/>
      <c r="Y53" s="472"/>
      <c r="Z53" s="352"/>
      <c r="AA53" s="520"/>
      <c r="AB53" s="163"/>
      <c r="AC53" s="148"/>
      <c r="AD53" s="145"/>
      <c r="AE53" s="348" t="s">
        <v>280</v>
      </c>
      <c r="AF53" s="354" t="s">
        <v>79</v>
      </c>
    </row>
    <row r="54" spans="2:32">
      <c r="B54" s="514" t="str">
        <f>IF(AND(Validator!J548=TRUE,Validator!J48=TRUE,Validator!J298,Validator!J298=TRUE,Validator!J798=TRUE,Validator!J1048=TRUE,Validator!J1298=TRUE),"Valid","Invalid")</f>
        <v>Valid</v>
      </c>
      <c r="C54" s="144"/>
      <c r="D54" s="364"/>
      <c r="E54" s="145"/>
      <c r="F54" s="580"/>
      <c r="G54" s="309"/>
      <c r="H54" s="580"/>
      <c r="I54" s="296"/>
      <c r="J54" s="376"/>
      <c r="K54" s="146"/>
      <c r="L54" s="539"/>
      <c r="M54" s="469"/>
      <c r="N54" s="373"/>
      <c r="O54" s="348" t="s">
        <v>280</v>
      </c>
      <c r="P54" s="349" t="s">
        <v>79</v>
      </c>
      <c r="Q54" s="516"/>
      <c r="R54" s="467"/>
      <c r="S54" s="517"/>
      <c r="T54" s="517"/>
      <c r="U54" s="171" t="str">
        <f>IF(ISERROR(VLOOKUP($T54, 'Reference data'!$J$2:$K$139, 2, FALSE)),"-",VLOOKUP($T54, 'Reference data'!$J$2:$K$139, 2, FALSE))</f>
        <v>-</v>
      </c>
      <c r="V54" s="147"/>
      <c r="W54" s="147"/>
      <c r="X54" s="471"/>
      <c r="Y54" s="472"/>
      <c r="Z54" s="352"/>
      <c r="AA54" s="520"/>
      <c r="AB54" s="163"/>
      <c r="AC54" s="148"/>
      <c r="AD54" s="145"/>
      <c r="AE54" s="348" t="s">
        <v>280</v>
      </c>
      <c r="AF54" s="354" t="s">
        <v>79</v>
      </c>
    </row>
    <row r="55" spans="2:32">
      <c r="B55" s="514" t="str">
        <f>IF(AND(Validator!J549=TRUE,Validator!J49=TRUE,Validator!J299,Validator!J299=TRUE,Validator!J799=TRUE,Validator!J1049=TRUE,Validator!J1299=TRUE),"Valid","Invalid")</f>
        <v>Valid</v>
      </c>
      <c r="C55" s="144"/>
      <c r="D55" s="364"/>
      <c r="E55" s="145"/>
      <c r="F55" s="580"/>
      <c r="G55" s="309"/>
      <c r="H55" s="580"/>
      <c r="I55" s="296"/>
      <c r="J55" s="376"/>
      <c r="K55" s="146"/>
      <c r="L55" s="539"/>
      <c r="M55" s="469"/>
      <c r="N55" s="373"/>
      <c r="O55" s="348" t="s">
        <v>280</v>
      </c>
      <c r="P55" s="349" t="s">
        <v>79</v>
      </c>
      <c r="Q55" s="516"/>
      <c r="R55" s="467"/>
      <c r="S55" s="517"/>
      <c r="T55" s="517"/>
      <c r="U55" s="171" t="str">
        <f>IF(ISERROR(VLOOKUP($T55, 'Reference data'!$J$2:$K$139, 2, FALSE)),"-",VLOOKUP($T55, 'Reference data'!$J$2:$K$139, 2, FALSE))</f>
        <v>-</v>
      </c>
      <c r="V55" s="147"/>
      <c r="W55" s="147"/>
      <c r="X55" s="471"/>
      <c r="Y55" s="472"/>
      <c r="Z55" s="352"/>
      <c r="AA55" s="520"/>
      <c r="AB55" s="163"/>
      <c r="AC55" s="148"/>
      <c r="AD55" s="145"/>
      <c r="AE55" s="348" t="s">
        <v>280</v>
      </c>
      <c r="AF55" s="354" t="s">
        <v>79</v>
      </c>
    </row>
    <row r="56" spans="2:32">
      <c r="B56" s="514" t="str">
        <f>IF(AND(Validator!J550=TRUE,Validator!J50=TRUE,Validator!J300,Validator!J300=TRUE,Validator!J800=TRUE,Validator!J1050=TRUE,Validator!J1300=TRUE),"Valid","Invalid")</f>
        <v>Valid</v>
      </c>
      <c r="C56" s="144"/>
      <c r="D56" s="364"/>
      <c r="E56" s="145"/>
      <c r="F56" s="580"/>
      <c r="G56" s="309"/>
      <c r="H56" s="580"/>
      <c r="I56" s="296"/>
      <c r="J56" s="376"/>
      <c r="K56" s="146"/>
      <c r="L56" s="539"/>
      <c r="M56" s="469"/>
      <c r="N56" s="373"/>
      <c r="O56" s="348" t="s">
        <v>280</v>
      </c>
      <c r="P56" s="349" t="s">
        <v>79</v>
      </c>
      <c r="Q56" s="516"/>
      <c r="R56" s="467"/>
      <c r="S56" s="517"/>
      <c r="T56" s="517"/>
      <c r="U56" s="171" t="str">
        <f>IF(ISERROR(VLOOKUP($T56, 'Reference data'!$J$2:$K$139, 2, FALSE)),"-",VLOOKUP($T56, 'Reference data'!$J$2:$K$139, 2, FALSE))</f>
        <v>-</v>
      </c>
      <c r="V56" s="147"/>
      <c r="W56" s="147"/>
      <c r="X56" s="471"/>
      <c r="Y56" s="472"/>
      <c r="Z56" s="352"/>
      <c r="AA56" s="520"/>
      <c r="AB56" s="163"/>
      <c r="AC56" s="148"/>
      <c r="AD56" s="145"/>
      <c r="AE56" s="348" t="s">
        <v>280</v>
      </c>
      <c r="AF56" s="354" t="s">
        <v>79</v>
      </c>
    </row>
    <row r="57" spans="2:32">
      <c r="B57" s="514" t="str">
        <f>IF(AND(Validator!J551=TRUE,Validator!J51=TRUE,Validator!J301,Validator!J301=TRUE,Validator!J801=TRUE,Validator!J1051=TRUE,Validator!J1301=TRUE),"Valid","Invalid")</f>
        <v>Valid</v>
      </c>
      <c r="C57" s="144"/>
      <c r="D57" s="364"/>
      <c r="E57" s="145"/>
      <c r="F57" s="580"/>
      <c r="G57" s="309"/>
      <c r="H57" s="580"/>
      <c r="I57" s="296"/>
      <c r="J57" s="376"/>
      <c r="K57" s="146"/>
      <c r="L57" s="539"/>
      <c r="M57" s="469"/>
      <c r="N57" s="373"/>
      <c r="O57" s="348" t="s">
        <v>280</v>
      </c>
      <c r="P57" s="349" t="s">
        <v>79</v>
      </c>
      <c r="Q57" s="516"/>
      <c r="R57" s="467"/>
      <c r="S57" s="517"/>
      <c r="T57" s="517"/>
      <c r="U57" s="171" t="str">
        <f>IF(ISERROR(VLOOKUP($T57, 'Reference data'!$J$2:$K$139, 2, FALSE)),"-",VLOOKUP($T57, 'Reference data'!$J$2:$K$139, 2, FALSE))</f>
        <v>-</v>
      </c>
      <c r="V57" s="147"/>
      <c r="W57" s="147"/>
      <c r="X57" s="471"/>
      <c r="Y57" s="472"/>
      <c r="Z57" s="352"/>
      <c r="AA57" s="520"/>
      <c r="AB57" s="163"/>
      <c r="AC57" s="148"/>
      <c r="AD57" s="145"/>
      <c r="AE57" s="348" t="s">
        <v>280</v>
      </c>
      <c r="AF57" s="354" t="s">
        <v>79</v>
      </c>
    </row>
    <row r="58" spans="2:32">
      <c r="B58" s="514" t="str">
        <f>IF(AND(Validator!J552=TRUE,Validator!J52=TRUE,Validator!J302,Validator!J302=TRUE,Validator!J802=TRUE,Validator!J1052=TRUE,Validator!J1302=TRUE),"Valid","Invalid")</f>
        <v>Valid</v>
      </c>
      <c r="C58" s="144"/>
      <c r="D58" s="364"/>
      <c r="E58" s="145"/>
      <c r="F58" s="580"/>
      <c r="G58" s="309"/>
      <c r="H58" s="580"/>
      <c r="I58" s="296"/>
      <c r="J58" s="376"/>
      <c r="K58" s="146"/>
      <c r="L58" s="539"/>
      <c r="M58" s="469"/>
      <c r="N58" s="373"/>
      <c r="O58" s="348" t="s">
        <v>280</v>
      </c>
      <c r="P58" s="349" t="s">
        <v>79</v>
      </c>
      <c r="Q58" s="516"/>
      <c r="R58" s="467"/>
      <c r="S58" s="517"/>
      <c r="T58" s="517"/>
      <c r="U58" s="171" t="str">
        <f>IF(ISERROR(VLOOKUP($T58, 'Reference data'!$J$2:$K$139, 2, FALSE)),"-",VLOOKUP($T58, 'Reference data'!$J$2:$K$139, 2, FALSE))</f>
        <v>-</v>
      </c>
      <c r="V58" s="147"/>
      <c r="W58" s="147"/>
      <c r="X58" s="471"/>
      <c r="Y58" s="472"/>
      <c r="Z58" s="352"/>
      <c r="AA58" s="520"/>
      <c r="AB58" s="163"/>
      <c r="AC58" s="148"/>
      <c r="AD58" s="145"/>
      <c r="AE58" s="348" t="s">
        <v>280</v>
      </c>
      <c r="AF58" s="354" t="s">
        <v>79</v>
      </c>
    </row>
    <row r="59" spans="2:32">
      <c r="B59" s="514" t="str">
        <f>IF(AND(Validator!J553=TRUE,Validator!J53=TRUE,Validator!J303,Validator!J303=TRUE,Validator!J803=TRUE,Validator!J1053=TRUE,Validator!J1303=TRUE),"Valid","Invalid")</f>
        <v>Valid</v>
      </c>
      <c r="C59" s="144"/>
      <c r="D59" s="364"/>
      <c r="E59" s="145"/>
      <c r="F59" s="580"/>
      <c r="G59" s="309"/>
      <c r="H59" s="580"/>
      <c r="I59" s="296"/>
      <c r="J59" s="376"/>
      <c r="K59" s="146"/>
      <c r="L59" s="539"/>
      <c r="M59" s="469"/>
      <c r="N59" s="373"/>
      <c r="O59" s="348" t="s">
        <v>280</v>
      </c>
      <c r="P59" s="349" t="s">
        <v>79</v>
      </c>
      <c r="Q59" s="516"/>
      <c r="R59" s="467"/>
      <c r="S59" s="517"/>
      <c r="T59" s="517"/>
      <c r="U59" s="171" t="str">
        <f>IF(ISERROR(VLOOKUP($T59, 'Reference data'!$J$2:$K$139, 2, FALSE)),"-",VLOOKUP($T59, 'Reference data'!$J$2:$K$139, 2, FALSE))</f>
        <v>-</v>
      </c>
      <c r="V59" s="147"/>
      <c r="W59" s="147"/>
      <c r="X59" s="471"/>
      <c r="Y59" s="472"/>
      <c r="Z59" s="352"/>
      <c r="AA59" s="520"/>
      <c r="AB59" s="163"/>
      <c r="AC59" s="148"/>
      <c r="AD59" s="145"/>
      <c r="AE59" s="348" t="s">
        <v>280</v>
      </c>
      <c r="AF59" s="354" t="s">
        <v>79</v>
      </c>
    </row>
    <row r="60" spans="2:32">
      <c r="B60" s="514" t="str">
        <f>IF(AND(Validator!J554=TRUE,Validator!J54=TRUE,Validator!J304,Validator!J304=TRUE,Validator!J804=TRUE,Validator!J1054=TRUE,Validator!J1304=TRUE),"Valid","Invalid")</f>
        <v>Valid</v>
      </c>
      <c r="C60" s="144"/>
      <c r="D60" s="364"/>
      <c r="E60" s="145"/>
      <c r="F60" s="580"/>
      <c r="G60" s="309"/>
      <c r="H60" s="580"/>
      <c r="I60" s="296"/>
      <c r="J60" s="376"/>
      <c r="K60" s="146"/>
      <c r="L60" s="539"/>
      <c r="M60" s="469"/>
      <c r="N60" s="373"/>
      <c r="O60" s="348" t="s">
        <v>280</v>
      </c>
      <c r="P60" s="349" t="s">
        <v>79</v>
      </c>
      <c r="Q60" s="516"/>
      <c r="R60" s="467"/>
      <c r="S60" s="517"/>
      <c r="T60" s="517"/>
      <c r="U60" s="171" t="str">
        <f>IF(ISERROR(VLOOKUP($T60, 'Reference data'!$J$2:$K$139, 2, FALSE)),"-",VLOOKUP($T60, 'Reference data'!$J$2:$K$139, 2, FALSE))</f>
        <v>-</v>
      </c>
      <c r="V60" s="147"/>
      <c r="W60" s="147"/>
      <c r="X60" s="471"/>
      <c r="Y60" s="472"/>
      <c r="Z60" s="352"/>
      <c r="AA60" s="520"/>
      <c r="AB60" s="163"/>
      <c r="AC60" s="148"/>
      <c r="AD60" s="145"/>
      <c r="AE60" s="348" t="s">
        <v>280</v>
      </c>
      <c r="AF60" s="354" t="s">
        <v>79</v>
      </c>
    </row>
    <row r="61" spans="2:32">
      <c r="B61" s="514" t="str">
        <f>IF(AND(Validator!J555=TRUE,Validator!J55=TRUE,Validator!J305,Validator!J305=TRUE,Validator!J805=TRUE,Validator!J1055=TRUE,Validator!J1305=TRUE),"Valid","Invalid")</f>
        <v>Valid</v>
      </c>
      <c r="C61" s="144"/>
      <c r="D61" s="364"/>
      <c r="E61" s="145"/>
      <c r="F61" s="580"/>
      <c r="G61" s="309"/>
      <c r="H61" s="580"/>
      <c r="I61" s="296"/>
      <c r="J61" s="376"/>
      <c r="K61" s="146"/>
      <c r="L61" s="539"/>
      <c r="M61" s="469"/>
      <c r="N61" s="373"/>
      <c r="O61" s="348" t="s">
        <v>280</v>
      </c>
      <c r="P61" s="349" t="s">
        <v>79</v>
      </c>
      <c r="Q61" s="516"/>
      <c r="R61" s="467"/>
      <c r="S61" s="517"/>
      <c r="T61" s="517"/>
      <c r="U61" s="171" t="str">
        <f>IF(ISERROR(VLOOKUP($T61, 'Reference data'!$J$2:$K$139, 2, FALSE)),"-",VLOOKUP($T61, 'Reference data'!$J$2:$K$139, 2, FALSE))</f>
        <v>-</v>
      </c>
      <c r="V61" s="147"/>
      <c r="W61" s="147"/>
      <c r="X61" s="471"/>
      <c r="Y61" s="472"/>
      <c r="Z61" s="352"/>
      <c r="AA61" s="520"/>
      <c r="AB61" s="163"/>
      <c r="AC61" s="148"/>
      <c r="AD61" s="145"/>
      <c r="AE61" s="348" t="s">
        <v>280</v>
      </c>
      <c r="AF61" s="354" t="s">
        <v>79</v>
      </c>
    </row>
    <row r="62" spans="2:32">
      <c r="B62" s="514" t="str">
        <f>IF(AND(Validator!J556=TRUE,Validator!J56=TRUE,Validator!J306,Validator!J306=TRUE,Validator!J806=TRUE,Validator!J1056=TRUE,Validator!J1306=TRUE),"Valid","Invalid")</f>
        <v>Valid</v>
      </c>
      <c r="C62" s="144"/>
      <c r="D62" s="364"/>
      <c r="E62" s="145"/>
      <c r="F62" s="580"/>
      <c r="G62" s="309"/>
      <c r="H62" s="580"/>
      <c r="I62" s="296"/>
      <c r="J62" s="376"/>
      <c r="K62" s="146"/>
      <c r="L62" s="539"/>
      <c r="M62" s="469"/>
      <c r="N62" s="373"/>
      <c r="O62" s="348" t="s">
        <v>280</v>
      </c>
      <c r="P62" s="349" t="s">
        <v>79</v>
      </c>
      <c r="Q62" s="516"/>
      <c r="R62" s="467"/>
      <c r="S62" s="517"/>
      <c r="T62" s="517"/>
      <c r="U62" s="171" t="str">
        <f>IF(ISERROR(VLOOKUP($T62, 'Reference data'!$J$2:$K$139, 2, FALSE)),"-",VLOOKUP($T62, 'Reference data'!$J$2:$K$139, 2, FALSE))</f>
        <v>-</v>
      </c>
      <c r="V62" s="147"/>
      <c r="W62" s="147"/>
      <c r="X62" s="471"/>
      <c r="Y62" s="472"/>
      <c r="Z62" s="352"/>
      <c r="AA62" s="520"/>
      <c r="AB62" s="163"/>
      <c r="AC62" s="148"/>
      <c r="AD62" s="145"/>
      <c r="AE62" s="348" t="s">
        <v>280</v>
      </c>
      <c r="AF62" s="354" t="s">
        <v>79</v>
      </c>
    </row>
    <row r="63" spans="2:32">
      <c r="B63" s="514" t="str">
        <f>IF(AND(Validator!J557=TRUE,Validator!J57=TRUE,Validator!J307,Validator!J307=TRUE,Validator!J807=TRUE,Validator!J1057=TRUE,Validator!J1307=TRUE),"Valid","Invalid")</f>
        <v>Valid</v>
      </c>
      <c r="C63" s="144"/>
      <c r="D63" s="364"/>
      <c r="E63" s="145"/>
      <c r="F63" s="580"/>
      <c r="G63" s="309"/>
      <c r="H63" s="580"/>
      <c r="I63" s="296"/>
      <c r="J63" s="376"/>
      <c r="K63" s="146"/>
      <c r="L63" s="539"/>
      <c r="M63" s="469"/>
      <c r="N63" s="373"/>
      <c r="O63" s="348" t="s">
        <v>280</v>
      </c>
      <c r="P63" s="349" t="s">
        <v>79</v>
      </c>
      <c r="Q63" s="516"/>
      <c r="R63" s="467"/>
      <c r="S63" s="517"/>
      <c r="T63" s="517"/>
      <c r="U63" s="171" t="str">
        <f>IF(ISERROR(VLOOKUP($T63, 'Reference data'!$J$2:$K$139, 2, FALSE)),"-",VLOOKUP($T63, 'Reference data'!$J$2:$K$139, 2, FALSE))</f>
        <v>-</v>
      </c>
      <c r="V63" s="147"/>
      <c r="W63" s="147"/>
      <c r="X63" s="471"/>
      <c r="Y63" s="472"/>
      <c r="Z63" s="352"/>
      <c r="AA63" s="520"/>
      <c r="AB63" s="163"/>
      <c r="AC63" s="148"/>
      <c r="AD63" s="145"/>
      <c r="AE63" s="348" t="s">
        <v>280</v>
      </c>
      <c r="AF63" s="354" t="s">
        <v>79</v>
      </c>
    </row>
    <row r="64" spans="2:32">
      <c r="B64" s="514" t="str">
        <f>IF(AND(Validator!J558=TRUE,Validator!J58=TRUE,Validator!J308,Validator!J308=TRUE,Validator!J808=TRUE,Validator!J1058=TRUE,Validator!J1308=TRUE),"Valid","Invalid")</f>
        <v>Valid</v>
      </c>
      <c r="C64" s="144"/>
      <c r="D64" s="364"/>
      <c r="E64" s="145"/>
      <c r="F64" s="580"/>
      <c r="G64" s="309"/>
      <c r="H64" s="580"/>
      <c r="I64" s="296"/>
      <c r="J64" s="376"/>
      <c r="K64" s="146"/>
      <c r="L64" s="539"/>
      <c r="M64" s="469"/>
      <c r="N64" s="373"/>
      <c r="O64" s="348" t="s">
        <v>280</v>
      </c>
      <c r="P64" s="349" t="s">
        <v>79</v>
      </c>
      <c r="Q64" s="516"/>
      <c r="R64" s="467"/>
      <c r="S64" s="517"/>
      <c r="T64" s="517"/>
      <c r="U64" s="171" t="str">
        <f>IF(ISERROR(VLOOKUP($T64, 'Reference data'!$J$2:$K$139, 2, FALSE)),"-",VLOOKUP($T64, 'Reference data'!$J$2:$K$139, 2, FALSE))</f>
        <v>-</v>
      </c>
      <c r="V64" s="147"/>
      <c r="W64" s="147"/>
      <c r="X64" s="471"/>
      <c r="Y64" s="472"/>
      <c r="Z64" s="352"/>
      <c r="AA64" s="520"/>
      <c r="AB64" s="163"/>
      <c r="AC64" s="148"/>
      <c r="AD64" s="145"/>
      <c r="AE64" s="348" t="s">
        <v>280</v>
      </c>
      <c r="AF64" s="354" t="s">
        <v>79</v>
      </c>
    </row>
    <row r="65" spans="2:32">
      <c r="B65" s="514" t="str">
        <f>IF(AND(Validator!J559=TRUE,Validator!J59=TRUE,Validator!J309,Validator!J309=TRUE,Validator!J809=TRUE,Validator!J1059=TRUE,Validator!J1309=TRUE),"Valid","Invalid")</f>
        <v>Valid</v>
      </c>
      <c r="C65" s="144"/>
      <c r="D65" s="364"/>
      <c r="E65" s="145"/>
      <c r="F65" s="580"/>
      <c r="G65" s="309"/>
      <c r="H65" s="580"/>
      <c r="I65" s="296"/>
      <c r="J65" s="376"/>
      <c r="K65" s="146"/>
      <c r="L65" s="539"/>
      <c r="M65" s="469"/>
      <c r="N65" s="373"/>
      <c r="O65" s="348" t="s">
        <v>280</v>
      </c>
      <c r="P65" s="349" t="s">
        <v>79</v>
      </c>
      <c r="Q65" s="516"/>
      <c r="R65" s="467"/>
      <c r="S65" s="517"/>
      <c r="T65" s="517"/>
      <c r="U65" s="171" t="str">
        <f>IF(ISERROR(VLOOKUP($T65, 'Reference data'!$J$2:$K$139, 2, FALSE)),"-",VLOOKUP($T65, 'Reference data'!$J$2:$K$139, 2, FALSE))</f>
        <v>-</v>
      </c>
      <c r="V65" s="147"/>
      <c r="W65" s="147"/>
      <c r="X65" s="471"/>
      <c r="Y65" s="472"/>
      <c r="Z65" s="352"/>
      <c r="AA65" s="520"/>
      <c r="AB65" s="163"/>
      <c r="AC65" s="148"/>
      <c r="AD65" s="145"/>
      <c r="AE65" s="348" t="s">
        <v>280</v>
      </c>
      <c r="AF65" s="354" t="s">
        <v>79</v>
      </c>
    </row>
    <row r="66" spans="2:32">
      <c r="B66" s="514" t="str">
        <f>IF(AND(Validator!J560=TRUE,Validator!J60=TRUE,Validator!J310,Validator!J310=TRUE,Validator!J810=TRUE,Validator!J1060=TRUE,Validator!J1310=TRUE),"Valid","Invalid")</f>
        <v>Valid</v>
      </c>
      <c r="C66" s="144"/>
      <c r="D66" s="364"/>
      <c r="E66" s="145"/>
      <c r="F66" s="580"/>
      <c r="G66" s="309"/>
      <c r="H66" s="580"/>
      <c r="I66" s="296"/>
      <c r="J66" s="376"/>
      <c r="K66" s="146"/>
      <c r="L66" s="539"/>
      <c r="M66" s="469"/>
      <c r="N66" s="373"/>
      <c r="O66" s="348" t="s">
        <v>280</v>
      </c>
      <c r="P66" s="349" t="s">
        <v>79</v>
      </c>
      <c r="Q66" s="516"/>
      <c r="R66" s="467"/>
      <c r="S66" s="517"/>
      <c r="T66" s="517"/>
      <c r="U66" s="171" t="str">
        <f>IF(ISERROR(VLOOKUP($T66, 'Reference data'!$J$2:$K$139, 2, FALSE)),"-",VLOOKUP($T66, 'Reference data'!$J$2:$K$139, 2, FALSE))</f>
        <v>-</v>
      </c>
      <c r="V66" s="147"/>
      <c r="W66" s="147"/>
      <c r="X66" s="471"/>
      <c r="Y66" s="472"/>
      <c r="Z66" s="352"/>
      <c r="AA66" s="520"/>
      <c r="AB66" s="163"/>
      <c r="AC66" s="148"/>
      <c r="AD66" s="145"/>
      <c r="AE66" s="348" t="s">
        <v>280</v>
      </c>
      <c r="AF66" s="354" t="s">
        <v>79</v>
      </c>
    </row>
    <row r="67" spans="2:32">
      <c r="B67" s="514" t="str">
        <f>IF(AND(Validator!J561=TRUE,Validator!J61=TRUE,Validator!J311,Validator!J311=TRUE,Validator!J811=TRUE,Validator!J1061=TRUE,Validator!J1311=TRUE),"Valid","Invalid")</f>
        <v>Valid</v>
      </c>
      <c r="C67" s="144"/>
      <c r="D67" s="364"/>
      <c r="E67" s="145"/>
      <c r="F67" s="580"/>
      <c r="G67" s="309"/>
      <c r="H67" s="580"/>
      <c r="I67" s="296"/>
      <c r="J67" s="376"/>
      <c r="K67" s="146"/>
      <c r="L67" s="539"/>
      <c r="M67" s="469"/>
      <c r="N67" s="373"/>
      <c r="O67" s="348" t="s">
        <v>280</v>
      </c>
      <c r="P67" s="349" t="s">
        <v>79</v>
      </c>
      <c r="Q67" s="516"/>
      <c r="R67" s="467"/>
      <c r="S67" s="517"/>
      <c r="T67" s="517"/>
      <c r="U67" s="171" t="str">
        <f>IF(ISERROR(VLOOKUP($T67, 'Reference data'!$J$2:$K$139, 2, FALSE)),"-",VLOOKUP($T67, 'Reference data'!$J$2:$K$139, 2, FALSE))</f>
        <v>-</v>
      </c>
      <c r="V67" s="147"/>
      <c r="W67" s="147"/>
      <c r="X67" s="471"/>
      <c r="Y67" s="472"/>
      <c r="Z67" s="352"/>
      <c r="AA67" s="520"/>
      <c r="AB67" s="163"/>
      <c r="AC67" s="148"/>
      <c r="AD67" s="145"/>
      <c r="AE67" s="348" t="s">
        <v>280</v>
      </c>
      <c r="AF67" s="354" t="s">
        <v>79</v>
      </c>
    </row>
    <row r="68" spans="2:32">
      <c r="B68" s="514" t="str">
        <f>IF(AND(Validator!J562=TRUE,Validator!J62=TRUE,Validator!J312,Validator!J312=TRUE,Validator!J812=TRUE,Validator!J1062=TRUE,Validator!J1312=TRUE),"Valid","Invalid")</f>
        <v>Valid</v>
      </c>
      <c r="C68" s="144"/>
      <c r="D68" s="364"/>
      <c r="E68" s="145"/>
      <c r="F68" s="580"/>
      <c r="G68" s="309"/>
      <c r="H68" s="580"/>
      <c r="I68" s="296"/>
      <c r="J68" s="376"/>
      <c r="K68" s="146"/>
      <c r="L68" s="539"/>
      <c r="M68" s="469"/>
      <c r="N68" s="373"/>
      <c r="O68" s="348" t="s">
        <v>280</v>
      </c>
      <c r="P68" s="349" t="s">
        <v>79</v>
      </c>
      <c r="Q68" s="516"/>
      <c r="R68" s="467"/>
      <c r="S68" s="517"/>
      <c r="T68" s="517"/>
      <c r="U68" s="171" t="str">
        <f>IF(ISERROR(VLOOKUP($T68, 'Reference data'!$J$2:$K$139, 2, FALSE)),"-",VLOOKUP($T68, 'Reference data'!$J$2:$K$139, 2, FALSE))</f>
        <v>-</v>
      </c>
      <c r="V68" s="147"/>
      <c r="W68" s="147"/>
      <c r="X68" s="471"/>
      <c r="Y68" s="472"/>
      <c r="Z68" s="352"/>
      <c r="AA68" s="520"/>
      <c r="AB68" s="163"/>
      <c r="AC68" s="148"/>
      <c r="AD68" s="145"/>
      <c r="AE68" s="348" t="s">
        <v>280</v>
      </c>
      <c r="AF68" s="354" t="s">
        <v>79</v>
      </c>
    </row>
    <row r="69" spans="2:32">
      <c r="B69" s="514" t="str">
        <f>IF(AND(Validator!J563=TRUE,Validator!J63=TRUE,Validator!J313,Validator!J313=TRUE,Validator!J813=TRUE,Validator!J1063=TRUE,Validator!J1313=TRUE),"Valid","Invalid")</f>
        <v>Valid</v>
      </c>
      <c r="C69" s="144"/>
      <c r="D69" s="364"/>
      <c r="E69" s="145"/>
      <c r="F69" s="580"/>
      <c r="G69" s="309"/>
      <c r="H69" s="580"/>
      <c r="I69" s="296"/>
      <c r="J69" s="376"/>
      <c r="K69" s="146"/>
      <c r="L69" s="539"/>
      <c r="M69" s="469"/>
      <c r="N69" s="373"/>
      <c r="O69" s="348" t="s">
        <v>280</v>
      </c>
      <c r="P69" s="349" t="s">
        <v>79</v>
      </c>
      <c r="Q69" s="516"/>
      <c r="R69" s="467"/>
      <c r="S69" s="517"/>
      <c r="T69" s="517"/>
      <c r="U69" s="171" t="str">
        <f>IF(ISERROR(VLOOKUP($T69, 'Reference data'!$J$2:$K$139, 2, FALSE)),"-",VLOOKUP($T69, 'Reference data'!$J$2:$K$139, 2, FALSE))</f>
        <v>-</v>
      </c>
      <c r="V69" s="147"/>
      <c r="W69" s="147"/>
      <c r="X69" s="471"/>
      <c r="Y69" s="472"/>
      <c r="Z69" s="352"/>
      <c r="AA69" s="520"/>
      <c r="AB69" s="163"/>
      <c r="AC69" s="148"/>
      <c r="AD69" s="145"/>
      <c r="AE69" s="348" t="s">
        <v>280</v>
      </c>
      <c r="AF69" s="354" t="s">
        <v>79</v>
      </c>
    </row>
    <row r="70" spans="2:32">
      <c r="B70" s="514" t="str">
        <f>IF(AND(Validator!J564=TRUE,Validator!J64=TRUE,Validator!J314,Validator!J314=TRUE,Validator!J814=TRUE,Validator!J1064=TRUE,Validator!J1314=TRUE),"Valid","Invalid")</f>
        <v>Valid</v>
      </c>
      <c r="C70" s="144"/>
      <c r="D70" s="364"/>
      <c r="E70" s="145"/>
      <c r="F70" s="580"/>
      <c r="G70" s="309"/>
      <c r="H70" s="580"/>
      <c r="I70" s="296"/>
      <c r="J70" s="376"/>
      <c r="K70" s="146"/>
      <c r="L70" s="539"/>
      <c r="M70" s="469"/>
      <c r="N70" s="373"/>
      <c r="O70" s="348" t="s">
        <v>280</v>
      </c>
      <c r="P70" s="349" t="s">
        <v>79</v>
      </c>
      <c r="Q70" s="516"/>
      <c r="R70" s="467"/>
      <c r="S70" s="517"/>
      <c r="T70" s="517"/>
      <c r="U70" s="171" t="str">
        <f>IF(ISERROR(VLOOKUP($T70, 'Reference data'!$J$2:$K$139, 2, FALSE)),"-",VLOOKUP($T70, 'Reference data'!$J$2:$K$139, 2, FALSE))</f>
        <v>-</v>
      </c>
      <c r="V70" s="147"/>
      <c r="W70" s="147"/>
      <c r="X70" s="471"/>
      <c r="Y70" s="472"/>
      <c r="Z70" s="352"/>
      <c r="AA70" s="520"/>
      <c r="AB70" s="163"/>
      <c r="AC70" s="148"/>
      <c r="AD70" s="145"/>
      <c r="AE70" s="348" t="s">
        <v>280</v>
      </c>
      <c r="AF70" s="354" t="s">
        <v>79</v>
      </c>
    </row>
    <row r="71" spans="2:32">
      <c r="B71" s="514" t="str">
        <f>IF(AND(Validator!J565=TRUE,Validator!J65=TRUE,Validator!J315,Validator!J315=TRUE,Validator!J815=TRUE,Validator!J1065=TRUE,Validator!J1315=TRUE),"Valid","Invalid")</f>
        <v>Valid</v>
      </c>
      <c r="C71" s="144"/>
      <c r="D71" s="364"/>
      <c r="E71" s="145"/>
      <c r="F71" s="580"/>
      <c r="G71" s="309"/>
      <c r="H71" s="580"/>
      <c r="I71" s="296"/>
      <c r="J71" s="376"/>
      <c r="K71" s="146"/>
      <c r="L71" s="539"/>
      <c r="M71" s="469"/>
      <c r="N71" s="373"/>
      <c r="O71" s="348" t="s">
        <v>280</v>
      </c>
      <c r="P71" s="349" t="s">
        <v>79</v>
      </c>
      <c r="Q71" s="516"/>
      <c r="R71" s="467"/>
      <c r="S71" s="517"/>
      <c r="T71" s="517"/>
      <c r="U71" s="171" t="str">
        <f>IF(ISERROR(VLOOKUP($T71, 'Reference data'!$J$2:$K$139, 2, FALSE)),"-",VLOOKUP($T71, 'Reference data'!$J$2:$K$139, 2, FALSE))</f>
        <v>-</v>
      </c>
      <c r="V71" s="147"/>
      <c r="W71" s="147"/>
      <c r="X71" s="471"/>
      <c r="Y71" s="472"/>
      <c r="Z71" s="352"/>
      <c r="AA71" s="520"/>
      <c r="AB71" s="163"/>
      <c r="AC71" s="148"/>
      <c r="AD71" s="145"/>
      <c r="AE71" s="348" t="s">
        <v>280</v>
      </c>
      <c r="AF71" s="354" t="s">
        <v>79</v>
      </c>
    </row>
    <row r="72" spans="2:32">
      <c r="B72" s="514" t="str">
        <f>IF(AND(Validator!J566=TRUE,Validator!J66=TRUE,Validator!J316,Validator!J316=TRUE,Validator!J816=TRUE,Validator!J1066=TRUE,Validator!J1316=TRUE),"Valid","Invalid")</f>
        <v>Valid</v>
      </c>
      <c r="C72" s="144"/>
      <c r="D72" s="364"/>
      <c r="E72" s="145"/>
      <c r="F72" s="580"/>
      <c r="G72" s="309"/>
      <c r="H72" s="580"/>
      <c r="I72" s="296"/>
      <c r="J72" s="376"/>
      <c r="K72" s="146"/>
      <c r="L72" s="539"/>
      <c r="M72" s="469"/>
      <c r="N72" s="373"/>
      <c r="O72" s="348" t="s">
        <v>280</v>
      </c>
      <c r="P72" s="349" t="s">
        <v>79</v>
      </c>
      <c r="Q72" s="516"/>
      <c r="R72" s="467"/>
      <c r="S72" s="517"/>
      <c r="T72" s="517"/>
      <c r="U72" s="171" t="str">
        <f>IF(ISERROR(VLOOKUP($T72, 'Reference data'!$J$2:$K$139, 2, FALSE)),"-",VLOOKUP($T72, 'Reference data'!$J$2:$K$139, 2, FALSE))</f>
        <v>-</v>
      </c>
      <c r="V72" s="147"/>
      <c r="W72" s="147"/>
      <c r="X72" s="471"/>
      <c r="Y72" s="472"/>
      <c r="Z72" s="352"/>
      <c r="AA72" s="520"/>
      <c r="AB72" s="163"/>
      <c r="AC72" s="148"/>
      <c r="AD72" s="145"/>
      <c r="AE72" s="348" t="s">
        <v>280</v>
      </c>
      <c r="AF72" s="354" t="s">
        <v>79</v>
      </c>
    </row>
    <row r="73" spans="2:32">
      <c r="B73" s="514" t="str">
        <f>IF(AND(Validator!J567=TRUE,Validator!J67=TRUE,Validator!J317,Validator!J317=TRUE,Validator!J817=TRUE,Validator!J1067=TRUE,Validator!J1317=TRUE),"Valid","Invalid")</f>
        <v>Valid</v>
      </c>
      <c r="C73" s="144"/>
      <c r="D73" s="364"/>
      <c r="E73" s="145"/>
      <c r="F73" s="580"/>
      <c r="G73" s="309"/>
      <c r="H73" s="580"/>
      <c r="I73" s="296"/>
      <c r="J73" s="376"/>
      <c r="K73" s="146"/>
      <c r="L73" s="539"/>
      <c r="M73" s="469"/>
      <c r="N73" s="373"/>
      <c r="O73" s="348" t="s">
        <v>280</v>
      </c>
      <c r="P73" s="349" t="s">
        <v>79</v>
      </c>
      <c r="Q73" s="516"/>
      <c r="R73" s="467"/>
      <c r="S73" s="517"/>
      <c r="T73" s="517"/>
      <c r="U73" s="171" t="str">
        <f>IF(ISERROR(VLOOKUP($T73, 'Reference data'!$J$2:$K$139, 2, FALSE)),"-",VLOOKUP($T73, 'Reference data'!$J$2:$K$139, 2, FALSE))</f>
        <v>-</v>
      </c>
      <c r="V73" s="147"/>
      <c r="W73" s="147"/>
      <c r="X73" s="471"/>
      <c r="Y73" s="472"/>
      <c r="Z73" s="352"/>
      <c r="AA73" s="520"/>
      <c r="AB73" s="163"/>
      <c r="AC73" s="148"/>
      <c r="AD73" s="145"/>
      <c r="AE73" s="348" t="s">
        <v>280</v>
      </c>
      <c r="AF73" s="354" t="s">
        <v>79</v>
      </c>
    </row>
    <row r="74" spans="2:32">
      <c r="B74" s="514" t="str">
        <f>IF(AND(Validator!J568=TRUE,Validator!J68=TRUE,Validator!J318,Validator!J318=TRUE,Validator!J818=TRUE,Validator!J1068=TRUE,Validator!J1318=TRUE),"Valid","Invalid")</f>
        <v>Valid</v>
      </c>
      <c r="C74" s="144"/>
      <c r="D74" s="364"/>
      <c r="E74" s="145"/>
      <c r="F74" s="580"/>
      <c r="G74" s="309"/>
      <c r="H74" s="580"/>
      <c r="I74" s="296"/>
      <c r="J74" s="376"/>
      <c r="K74" s="146"/>
      <c r="L74" s="539"/>
      <c r="M74" s="469"/>
      <c r="N74" s="373"/>
      <c r="O74" s="348" t="s">
        <v>280</v>
      </c>
      <c r="P74" s="349" t="s">
        <v>79</v>
      </c>
      <c r="Q74" s="516"/>
      <c r="R74" s="467"/>
      <c r="S74" s="517"/>
      <c r="T74" s="517"/>
      <c r="U74" s="171" t="str">
        <f>IF(ISERROR(VLOOKUP($T74, 'Reference data'!$J$2:$K$139, 2, FALSE)),"-",VLOOKUP($T74, 'Reference data'!$J$2:$K$139, 2, FALSE))</f>
        <v>-</v>
      </c>
      <c r="V74" s="147"/>
      <c r="W74" s="147"/>
      <c r="X74" s="471"/>
      <c r="Y74" s="472"/>
      <c r="Z74" s="352"/>
      <c r="AA74" s="520"/>
      <c r="AB74" s="163"/>
      <c r="AC74" s="148"/>
      <c r="AD74" s="145"/>
      <c r="AE74" s="348" t="s">
        <v>280</v>
      </c>
      <c r="AF74" s="354" t="s">
        <v>79</v>
      </c>
    </row>
    <row r="75" spans="2:32">
      <c r="B75" s="514" t="str">
        <f>IF(AND(Validator!J569=TRUE,Validator!J69=TRUE,Validator!J319,Validator!J319=TRUE,Validator!J819=TRUE,Validator!J1069=TRUE,Validator!J1319=TRUE),"Valid","Invalid")</f>
        <v>Valid</v>
      </c>
      <c r="C75" s="144"/>
      <c r="D75" s="364"/>
      <c r="E75" s="145"/>
      <c r="F75" s="580"/>
      <c r="G75" s="309"/>
      <c r="H75" s="580"/>
      <c r="I75" s="296"/>
      <c r="J75" s="376"/>
      <c r="K75" s="146"/>
      <c r="L75" s="539"/>
      <c r="M75" s="469"/>
      <c r="N75" s="373"/>
      <c r="O75" s="348" t="s">
        <v>280</v>
      </c>
      <c r="P75" s="349" t="s">
        <v>79</v>
      </c>
      <c r="Q75" s="516"/>
      <c r="R75" s="467"/>
      <c r="S75" s="517"/>
      <c r="T75" s="517"/>
      <c r="U75" s="171" t="str">
        <f>IF(ISERROR(VLOOKUP($T75, 'Reference data'!$J$2:$K$139, 2, FALSE)),"-",VLOOKUP($T75, 'Reference data'!$J$2:$K$139, 2, FALSE))</f>
        <v>-</v>
      </c>
      <c r="V75" s="147"/>
      <c r="W75" s="147"/>
      <c r="X75" s="471"/>
      <c r="Y75" s="472"/>
      <c r="Z75" s="352"/>
      <c r="AA75" s="520"/>
      <c r="AB75" s="163"/>
      <c r="AC75" s="148"/>
      <c r="AD75" s="145"/>
      <c r="AE75" s="348" t="s">
        <v>280</v>
      </c>
      <c r="AF75" s="354" t="s">
        <v>79</v>
      </c>
    </row>
    <row r="76" spans="2:32">
      <c r="B76" s="514" t="str">
        <f>IF(AND(Validator!J570=TRUE,Validator!J70=TRUE,Validator!J320,Validator!J320=TRUE,Validator!J820=TRUE,Validator!J1070=TRUE,Validator!J1320=TRUE),"Valid","Invalid")</f>
        <v>Valid</v>
      </c>
      <c r="C76" s="144"/>
      <c r="D76" s="364"/>
      <c r="E76" s="145"/>
      <c r="F76" s="580"/>
      <c r="G76" s="309"/>
      <c r="H76" s="580"/>
      <c r="I76" s="296"/>
      <c r="J76" s="376"/>
      <c r="K76" s="146"/>
      <c r="L76" s="539"/>
      <c r="M76" s="469"/>
      <c r="N76" s="373"/>
      <c r="O76" s="348" t="s">
        <v>280</v>
      </c>
      <c r="P76" s="349" t="s">
        <v>79</v>
      </c>
      <c r="Q76" s="516"/>
      <c r="R76" s="467"/>
      <c r="S76" s="517"/>
      <c r="T76" s="517"/>
      <c r="U76" s="171" t="str">
        <f>IF(ISERROR(VLOOKUP($T76, 'Reference data'!$J$2:$K$139, 2, FALSE)),"-",VLOOKUP($T76, 'Reference data'!$J$2:$K$139, 2, FALSE))</f>
        <v>-</v>
      </c>
      <c r="V76" s="147"/>
      <c r="W76" s="147"/>
      <c r="X76" s="471"/>
      <c r="Y76" s="472"/>
      <c r="Z76" s="352"/>
      <c r="AA76" s="520"/>
      <c r="AB76" s="163"/>
      <c r="AC76" s="148"/>
      <c r="AD76" s="145"/>
      <c r="AE76" s="348" t="s">
        <v>280</v>
      </c>
      <c r="AF76" s="354" t="s">
        <v>79</v>
      </c>
    </row>
    <row r="77" spans="2:32">
      <c r="B77" s="514" t="str">
        <f>IF(AND(Validator!J571=TRUE,Validator!J71=TRUE,Validator!J321,Validator!J321=TRUE,Validator!J821=TRUE,Validator!J1071=TRUE,Validator!J1321=TRUE),"Valid","Invalid")</f>
        <v>Valid</v>
      </c>
      <c r="C77" s="144"/>
      <c r="D77" s="364"/>
      <c r="E77" s="145"/>
      <c r="F77" s="580"/>
      <c r="G77" s="309"/>
      <c r="H77" s="580"/>
      <c r="I77" s="296"/>
      <c r="J77" s="376"/>
      <c r="K77" s="146"/>
      <c r="L77" s="539"/>
      <c r="M77" s="469"/>
      <c r="N77" s="373"/>
      <c r="O77" s="348" t="s">
        <v>280</v>
      </c>
      <c r="P77" s="349" t="s">
        <v>79</v>
      </c>
      <c r="Q77" s="516"/>
      <c r="R77" s="467"/>
      <c r="S77" s="517"/>
      <c r="T77" s="517"/>
      <c r="U77" s="171" t="str">
        <f>IF(ISERROR(VLOOKUP($T77, 'Reference data'!$J$2:$K$139, 2, FALSE)),"-",VLOOKUP($T77, 'Reference data'!$J$2:$K$139, 2, FALSE))</f>
        <v>-</v>
      </c>
      <c r="V77" s="147"/>
      <c r="W77" s="147"/>
      <c r="X77" s="471"/>
      <c r="Y77" s="472"/>
      <c r="Z77" s="352"/>
      <c r="AA77" s="520"/>
      <c r="AB77" s="163"/>
      <c r="AC77" s="148"/>
      <c r="AD77" s="145"/>
      <c r="AE77" s="348" t="s">
        <v>280</v>
      </c>
      <c r="AF77" s="354" t="s">
        <v>79</v>
      </c>
    </row>
    <row r="78" spans="2:32">
      <c r="B78" s="514" t="str">
        <f>IF(AND(Validator!J572=TRUE,Validator!J72=TRUE,Validator!J322,Validator!J322=TRUE,Validator!J822=TRUE,Validator!J1072=TRUE,Validator!J1322=TRUE),"Valid","Invalid")</f>
        <v>Valid</v>
      </c>
      <c r="C78" s="144"/>
      <c r="D78" s="364"/>
      <c r="E78" s="145"/>
      <c r="F78" s="580"/>
      <c r="G78" s="309"/>
      <c r="H78" s="580"/>
      <c r="I78" s="296"/>
      <c r="J78" s="376"/>
      <c r="K78" s="146"/>
      <c r="L78" s="539"/>
      <c r="M78" s="469"/>
      <c r="N78" s="373"/>
      <c r="O78" s="348" t="s">
        <v>280</v>
      </c>
      <c r="P78" s="349" t="s">
        <v>79</v>
      </c>
      <c r="Q78" s="516"/>
      <c r="R78" s="467"/>
      <c r="S78" s="517"/>
      <c r="T78" s="517"/>
      <c r="U78" s="171" t="str">
        <f>IF(ISERROR(VLOOKUP($T78, 'Reference data'!$J$2:$K$139, 2, FALSE)),"-",VLOOKUP($T78, 'Reference data'!$J$2:$K$139, 2, FALSE))</f>
        <v>-</v>
      </c>
      <c r="V78" s="147"/>
      <c r="W78" s="147"/>
      <c r="X78" s="471"/>
      <c r="Y78" s="472"/>
      <c r="Z78" s="352"/>
      <c r="AA78" s="520"/>
      <c r="AB78" s="163"/>
      <c r="AC78" s="148"/>
      <c r="AD78" s="145"/>
      <c r="AE78" s="348" t="s">
        <v>280</v>
      </c>
      <c r="AF78" s="354" t="s">
        <v>79</v>
      </c>
    </row>
    <row r="79" spans="2:32">
      <c r="B79" s="514" t="str">
        <f>IF(AND(Validator!J573=TRUE,Validator!J73=TRUE,Validator!J323,Validator!J323=TRUE,Validator!J823=TRUE,Validator!J1073=TRUE,Validator!J1323=TRUE),"Valid","Invalid")</f>
        <v>Valid</v>
      </c>
      <c r="C79" s="144"/>
      <c r="D79" s="364"/>
      <c r="E79" s="145"/>
      <c r="F79" s="580"/>
      <c r="G79" s="309"/>
      <c r="H79" s="580"/>
      <c r="I79" s="296"/>
      <c r="J79" s="376"/>
      <c r="K79" s="146"/>
      <c r="L79" s="539"/>
      <c r="M79" s="469"/>
      <c r="N79" s="373"/>
      <c r="O79" s="348" t="s">
        <v>280</v>
      </c>
      <c r="P79" s="349" t="s">
        <v>79</v>
      </c>
      <c r="Q79" s="516"/>
      <c r="R79" s="467"/>
      <c r="S79" s="517"/>
      <c r="T79" s="517"/>
      <c r="U79" s="171" t="str">
        <f>IF(ISERROR(VLOOKUP($T79, 'Reference data'!$J$2:$K$139, 2, FALSE)),"-",VLOOKUP($T79, 'Reference data'!$J$2:$K$139, 2, FALSE))</f>
        <v>-</v>
      </c>
      <c r="V79" s="147"/>
      <c r="W79" s="147"/>
      <c r="X79" s="471"/>
      <c r="Y79" s="472"/>
      <c r="Z79" s="352"/>
      <c r="AA79" s="520"/>
      <c r="AB79" s="163"/>
      <c r="AC79" s="148"/>
      <c r="AD79" s="145"/>
      <c r="AE79" s="348" t="s">
        <v>280</v>
      </c>
      <c r="AF79" s="354" t="s">
        <v>79</v>
      </c>
    </row>
    <row r="80" spans="2:32">
      <c r="B80" s="514" t="str">
        <f>IF(AND(Validator!J574=TRUE,Validator!J74=TRUE,Validator!J324,Validator!J324=TRUE,Validator!J824=TRUE,Validator!J1074=TRUE,Validator!J1324=TRUE),"Valid","Invalid")</f>
        <v>Valid</v>
      </c>
      <c r="C80" s="144"/>
      <c r="D80" s="364"/>
      <c r="E80" s="145"/>
      <c r="F80" s="580"/>
      <c r="G80" s="309"/>
      <c r="H80" s="580"/>
      <c r="I80" s="296"/>
      <c r="J80" s="376"/>
      <c r="K80" s="146"/>
      <c r="L80" s="539"/>
      <c r="M80" s="469"/>
      <c r="N80" s="373"/>
      <c r="O80" s="348" t="s">
        <v>280</v>
      </c>
      <c r="P80" s="349" t="s">
        <v>79</v>
      </c>
      <c r="Q80" s="516"/>
      <c r="R80" s="467"/>
      <c r="S80" s="517"/>
      <c r="T80" s="517"/>
      <c r="U80" s="171" t="str">
        <f>IF(ISERROR(VLOOKUP($T80, 'Reference data'!$J$2:$K$139, 2, FALSE)),"-",VLOOKUP($T80, 'Reference data'!$J$2:$K$139, 2, FALSE))</f>
        <v>-</v>
      </c>
      <c r="V80" s="147"/>
      <c r="W80" s="147"/>
      <c r="X80" s="471"/>
      <c r="Y80" s="472"/>
      <c r="Z80" s="352"/>
      <c r="AA80" s="520"/>
      <c r="AB80" s="163"/>
      <c r="AC80" s="148"/>
      <c r="AD80" s="145"/>
      <c r="AE80" s="348" t="s">
        <v>280</v>
      </c>
      <c r="AF80" s="354" t="s">
        <v>79</v>
      </c>
    </row>
    <row r="81" spans="2:32">
      <c r="B81" s="514" t="str">
        <f>IF(AND(Validator!J575=TRUE,Validator!J75=TRUE,Validator!J325,Validator!J325=TRUE,Validator!J825=TRUE,Validator!J1075=TRUE,Validator!J1325=TRUE),"Valid","Invalid")</f>
        <v>Valid</v>
      </c>
      <c r="C81" s="144"/>
      <c r="D81" s="364"/>
      <c r="E81" s="145"/>
      <c r="F81" s="580"/>
      <c r="G81" s="309"/>
      <c r="H81" s="580"/>
      <c r="I81" s="296"/>
      <c r="J81" s="376"/>
      <c r="K81" s="146"/>
      <c r="L81" s="539"/>
      <c r="M81" s="469"/>
      <c r="N81" s="373"/>
      <c r="O81" s="348" t="s">
        <v>280</v>
      </c>
      <c r="P81" s="349" t="s">
        <v>79</v>
      </c>
      <c r="Q81" s="516"/>
      <c r="R81" s="467"/>
      <c r="S81" s="517"/>
      <c r="T81" s="517"/>
      <c r="U81" s="171" t="str">
        <f>IF(ISERROR(VLOOKUP($T81, 'Reference data'!$J$2:$K$139, 2, FALSE)),"-",VLOOKUP($T81, 'Reference data'!$J$2:$K$139, 2, FALSE))</f>
        <v>-</v>
      </c>
      <c r="V81" s="147"/>
      <c r="W81" s="147"/>
      <c r="X81" s="471"/>
      <c r="Y81" s="472"/>
      <c r="Z81" s="352"/>
      <c r="AA81" s="520"/>
      <c r="AB81" s="163"/>
      <c r="AC81" s="148"/>
      <c r="AD81" s="145"/>
      <c r="AE81" s="348" t="s">
        <v>280</v>
      </c>
      <c r="AF81" s="354" t="s">
        <v>79</v>
      </c>
    </row>
    <row r="82" spans="2:32">
      <c r="B82" s="514" t="str">
        <f>IF(AND(Validator!J576=TRUE,Validator!J76=TRUE,Validator!J326,Validator!J326=TRUE,Validator!J826=TRUE,Validator!J1076=TRUE,Validator!J1326=TRUE),"Valid","Invalid")</f>
        <v>Valid</v>
      </c>
      <c r="C82" s="144"/>
      <c r="D82" s="364"/>
      <c r="E82" s="145"/>
      <c r="F82" s="580"/>
      <c r="G82" s="309"/>
      <c r="H82" s="580"/>
      <c r="I82" s="296"/>
      <c r="J82" s="376"/>
      <c r="K82" s="146"/>
      <c r="L82" s="539"/>
      <c r="M82" s="469"/>
      <c r="N82" s="373"/>
      <c r="O82" s="348" t="s">
        <v>280</v>
      </c>
      <c r="P82" s="349" t="s">
        <v>79</v>
      </c>
      <c r="Q82" s="516"/>
      <c r="R82" s="467"/>
      <c r="S82" s="517"/>
      <c r="T82" s="517"/>
      <c r="U82" s="171" t="str">
        <f>IF(ISERROR(VLOOKUP($T82, 'Reference data'!$J$2:$K$139, 2, FALSE)),"-",VLOOKUP($T82, 'Reference data'!$J$2:$K$139, 2, FALSE))</f>
        <v>-</v>
      </c>
      <c r="V82" s="147"/>
      <c r="W82" s="147"/>
      <c r="X82" s="471"/>
      <c r="Y82" s="472"/>
      <c r="Z82" s="352"/>
      <c r="AA82" s="520"/>
      <c r="AB82" s="163"/>
      <c r="AC82" s="148"/>
      <c r="AD82" s="145"/>
      <c r="AE82" s="348" t="s">
        <v>280</v>
      </c>
      <c r="AF82" s="354" t="s">
        <v>79</v>
      </c>
    </row>
    <row r="83" spans="2:32">
      <c r="B83" s="514" t="str">
        <f>IF(AND(Validator!J577=TRUE,Validator!J77=TRUE,Validator!J327,Validator!J327=TRUE,Validator!J827=TRUE,Validator!J1077=TRUE,Validator!J1327=TRUE),"Valid","Invalid")</f>
        <v>Valid</v>
      </c>
      <c r="C83" s="144"/>
      <c r="D83" s="364"/>
      <c r="E83" s="145"/>
      <c r="F83" s="580"/>
      <c r="G83" s="309"/>
      <c r="H83" s="580"/>
      <c r="I83" s="296"/>
      <c r="J83" s="376"/>
      <c r="K83" s="146"/>
      <c r="L83" s="539"/>
      <c r="M83" s="469"/>
      <c r="N83" s="373"/>
      <c r="O83" s="348" t="s">
        <v>280</v>
      </c>
      <c r="P83" s="349" t="s">
        <v>79</v>
      </c>
      <c r="Q83" s="516"/>
      <c r="R83" s="467"/>
      <c r="S83" s="517"/>
      <c r="T83" s="517"/>
      <c r="U83" s="171" t="str">
        <f>IF(ISERROR(VLOOKUP($T83, 'Reference data'!$J$2:$K$139, 2, FALSE)),"-",VLOOKUP($T83, 'Reference data'!$J$2:$K$139, 2, FALSE))</f>
        <v>-</v>
      </c>
      <c r="V83" s="147"/>
      <c r="W83" s="147"/>
      <c r="X83" s="471"/>
      <c r="Y83" s="472"/>
      <c r="Z83" s="352"/>
      <c r="AA83" s="520"/>
      <c r="AB83" s="163"/>
      <c r="AC83" s="148"/>
      <c r="AD83" s="145"/>
      <c r="AE83" s="348" t="s">
        <v>280</v>
      </c>
      <c r="AF83" s="354" t="s">
        <v>79</v>
      </c>
    </row>
    <row r="84" spans="2:32">
      <c r="B84" s="514" t="str">
        <f>IF(AND(Validator!J578=TRUE,Validator!J78=TRUE,Validator!J328,Validator!J328=TRUE,Validator!J828=TRUE,Validator!J1078=TRUE,Validator!J1328=TRUE),"Valid","Invalid")</f>
        <v>Valid</v>
      </c>
      <c r="C84" s="144"/>
      <c r="D84" s="364"/>
      <c r="E84" s="145"/>
      <c r="F84" s="580"/>
      <c r="G84" s="309"/>
      <c r="H84" s="580"/>
      <c r="I84" s="296"/>
      <c r="J84" s="376"/>
      <c r="K84" s="146"/>
      <c r="L84" s="539"/>
      <c r="M84" s="469"/>
      <c r="N84" s="373"/>
      <c r="O84" s="348" t="s">
        <v>280</v>
      </c>
      <c r="P84" s="349" t="s">
        <v>79</v>
      </c>
      <c r="Q84" s="516"/>
      <c r="R84" s="467"/>
      <c r="S84" s="517"/>
      <c r="T84" s="517"/>
      <c r="U84" s="171" t="str">
        <f>IF(ISERROR(VLOOKUP($T84, 'Reference data'!$J$2:$K$139, 2, FALSE)),"-",VLOOKUP($T84, 'Reference data'!$J$2:$K$139, 2, FALSE))</f>
        <v>-</v>
      </c>
      <c r="V84" s="147"/>
      <c r="W84" s="147"/>
      <c r="X84" s="471"/>
      <c r="Y84" s="472"/>
      <c r="Z84" s="352"/>
      <c r="AA84" s="520"/>
      <c r="AB84" s="163"/>
      <c r="AC84" s="148"/>
      <c r="AD84" s="145"/>
      <c r="AE84" s="348" t="s">
        <v>280</v>
      </c>
      <c r="AF84" s="354" t="s">
        <v>79</v>
      </c>
    </row>
    <row r="85" spans="2:32">
      <c r="B85" s="514" t="str">
        <f>IF(AND(Validator!J579=TRUE,Validator!J79=TRUE,Validator!J329,Validator!J329=TRUE,Validator!J829=TRUE,Validator!J1079=TRUE,Validator!J1329=TRUE),"Valid","Invalid")</f>
        <v>Valid</v>
      </c>
      <c r="C85" s="144"/>
      <c r="D85" s="364"/>
      <c r="E85" s="145"/>
      <c r="F85" s="580"/>
      <c r="G85" s="309"/>
      <c r="H85" s="580"/>
      <c r="I85" s="296"/>
      <c r="J85" s="376"/>
      <c r="K85" s="146"/>
      <c r="L85" s="539"/>
      <c r="M85" s="469"/>
      <c r="N85" s="373"/>
      <c r="O85" s="348" t="s">
        <v>280</v>
      </c>
      <c r="P85" s="349" t="s">
        <v>79</v>
      </c>
      <c r="Q85" s="516"/>
      <c r="R85" s="467"/>
      <c r="S85" s="517"/>
      <c r="T85" s="517"/>
      <c r="U85" s="171" t="str">
        <f>IF(ISERROR(VLOOKUP($T85, 'Reference data'!$J$2:$K$139, 2, FALSE)),"-",VLOOKUP($T85, 'Reference data'!$J$2:$K$139, 2, FALSE))</f>
        <v>-</v>
      </c>
      <c r="V85" s="147"/>
      <c r="W85" s="147"/>
      <c r="X85" s="471"/>
      <c r="Y85" s="472"/>
      <c r="Z85" s="352"/>
      <c r="AA85" s="520"/>
      <c r="AB85" s="163"/>
      <c r="AC85" s="148"/>
      <c r="AD85" s="145"/>
      <c r="AE85" s="348" t="s">
        <v>280</v>
      </c>
      <c r="AF85" s="354" t="s">
        <v>79</v>
      </c>
    </row>
    <row r="86" spans="2:32">
      <c r="B86" s="514" t="str">
        <f>IF(AND(Validator!J580=TRUE,Validator!J80=TRUE,Validator!J330,Validator!J330=TRUE,Validator!J830=TRUE,Validator!J1080=TRUE,Validator!J1330=TRUE),"Valid","Invalid")</f>
        <v>Valid</v>
      </c>
      <c r="C86" s="144"/>
      <c r="D86" s="364"/>
      <c r="E86" s="145"/>
      <c r="F86" s="580"/>
      <c r="G86" s="309"/>
      <c r="H86" s="580"/>
      <c r="I86" s="296"/>
      <c r="J86" s="376"/>
      <c r="K86" s="146"/>
      <c r="L86" s="539"/>
      <c r="M86" s="469"/>
      <c r="N86" s="373"/>
      <c r="O86" s="348" t="s">
        <v>280</v>
      </c>
      <c r="P86" s="349" t="s">
        <v>79</v>
      </c>
      <c r="Q86" s="516"/>
      <c r="R86" s="467"/>
      <c r="S86" s="517"/>
      <c r="T86" s="517"/>
      <c r="U86" s="171" t="str">
        <f>IF(ISERROR(VLOOKUP($T86, 'Reference data'!$J$2:$K$139, 2, FALSE)),"-",VLOOKUP($T86, 'Reference data'!$J$2:$K$139, 2, FALSE))</f>
        <v>-</v>
      </c>
      <c r="V86" s="147"/>
      <c r="W86" s="147"/>
      <c r="X86" s="471"/>
      <c r="Y86" s="472"/>
      <c r="Z86" s="352"/>
      <c r="AA86" s="520"/>
      <c r="AB86" s="163"/>
      <c r="AC86" s="148"/>
      <c r="AD86" s="145"/>
      <c r="AE86" s="348" t="s">
        <v>280</v>
      </c>
      <c r="AF86" s="354" t="s">
        <v>79</v>
      </c>
    </row>
    <row r="87" spans="2:32">
      <c r="B87" s="514" t="str">
        <f>IF(AND(Validator!J581=TRUE,Validator!J81=TRUE,Validator!J331,Validator!J331=TRUE,Validator!J831=TRUE,Validator!J1081=TRUE,Validator!J1331=TRUE),"Valid","Invalid")</f>
        <v>Valid</v>
      </c>
      <c r="C87" s="144"/>
      <c r="D87" s="364"/>
      <c r="E87" s="145"/>
      <c r="F87" s="580"/>
      <c r="G87" s="309"/>
      <c r="H87" s="580"/>
      <c r="I87" s="296"/>
      <c r="J87" s="376"/>
      <c r="K87" s="146"/>
      <c r="L87" s="539"/>
      <c r="M87" s="469"/>
      <c r="N87" s="373"/>
      <c r="O87" s="348" t="s">
        <v>280</v>
      </c>
      <c r="P87" s="349" t="s">
        <v>79</v>
      </c>
      <c r="Q87" s="516"/>
      <c r="R87" s="467"/>
      <c r="S87" s="517"/>
      <c r="T87" s="517"/>
      <c r="U87" s="171" t="str">
        <f>IF(ISERROR(VLOOKUP($T87, 'Reference data'!$J$2:$K$139, 2, FALSE)),"-",VLOOKUP($T87, 'Reference data'!$J$2:$K$139, 2, FALSE))</f>
        <v>-</v>
      </c>
      <c r="V87" s="147"/>
      <c r="W87" s="147"/>
      <c r="X87" s="471"/>
      <c r="Y87" s="472"/>
      <c r="Z87" s="352"/>
      <c r="AA87" s="520"/>
      <c r="AB87" s="163"/>
      <c r="AC87" s="148"/>
      <c r="AD87" s="145"/>
      <c r="AE87" s="348" t="s">
        <v>280</v>
      </c>
      <c r="AF87" s="354" t="s">
        <v>79</v>
      </c>
    </row>
    <row r="88" spans="2:32">
      <c r="B88" s="514" t="str">
        <f>IF(AND(Validator!J582=TRUE,Validator!J82=TRUE,Validator!J332,Validator!J332=TRUE,Validator!J832=TRUE,Validator!J1082=TRUE,Validator!J1332=TRUE),"Valid","Invalid")</f>
        <v>Valid</v>
      </c>
      <c r="C88" s="144"/>
      <c r="D88" s="364"/>
      <c r="E88" s="145"/>
      <c r="F88" s="580"/>
      <c r="G88" s="309"/>
      <c r="H88" s="580"/>
      <c r="I88" s="296"/>
      <c r="J88" s="376"/>
      <c r="K88" s="146"/>
      <c r="L88" s="539"/>
      <c r="M88" s="469"/>
      <c r="N88" s="373"/>
      <c r="O88" s="348" t="s">
        <v>280</v>
      </c>
      <c r="P88" s="349" t="s">
        <v>79</v>
      </c>
      <c r="Q88" s="516"/>
      <c r="R88" s="467"/>
      <c r="S88" s="517"/>
      <c r="T88" s="517"/>
      <c r="U88" s="171" t="str">
        <f>IF(ISERROR(VLOOKUP($T88, 'Reference data'!$J$2:$K$139, 2, FALSE)),"-",VLOOKUP($T88, 'Reference data'!$J$2:$K$139, 2, FALSE))</f>
        <v>-</v>
      </c>
      <c r="V88" s="147"/>
      <c r="W88" s="147"/>
      <c r="X88" s="471"/>
      <c r="Y88" s="472"/>
      <c r="Z88" s="352"/>
      <c r="AA88" s="520"/>
      <c r="AB88" s="163"/>
      <c r="AC88" s="148"/>
      <c r="AD88" s="145"/>
      <c r="AE88" s="348" t="s">
        <v>280</v>
      </c>
      <c r="AF88" s="354" t="s">
        <v>79</v>
      </c>
    </row>
    <row r="89" spans="2:32">
      <c r="B89" s="514" t="str">
        <f>IF(AND(Validator!J583=TRUE,Validator!J83=TRUE,Validator!J333,Validator!J333=TRUE,Validator!J833=TRUE,Validator!J1083=TRUE,Validator!J1333=TRUE),"Valid","Invalid")</f>
        <v>Valid</v>
      </c>
      <c r="C89" s="144"/>
      <c r="D89" s="364"/>
      <c r="E89" s="145"/>
      <c r="F89" s="580"/>
      <c r="G89" s="309"/>
      <c r="H89" s="580"/>
      <c r="I89" s="296"/>
      <c r="J89" s="376"/>
      <c r="K89" s="146"/>
      <c r="L89" s="539"/>
      <c r="M89" s="469"/>
      <c r="N89" s="373"/>
      <c r="O89" s="348" t="s">
        <v>280</v>
      </c>
      <c r="P89" s="349" t="s">
        <v>79</v>
      </c>
      <c r="Q89" s="516"/>
      <c r="R89" s="467"/>
      <c r="S89" s="517"/>
      <c r="T89" s="517"/>
      <c r="U89" s="171" t="str">
        <f>IF(ISERROR(VLOOKUP($T89, 'Reference data'!$J$2:$K$139, 2, FALSE)),"-",VLOOKUP($T89, 'Reference data'!$J$2:$K$139, 2, FALSE))</f>
        <v>-</v>
      </c>
      <c r="V89" s="147"/>
      <c r="W89" s="147"/>
      <c r="X89" s="471"/>
      <c r="Y89" s="472"/>
      <c r="Z89" s="352"/>
      <c r="AA89" s="520"/>
      <c r="AB89" s="163"/>
      <c r="AC89" s="148"/>
      <c r="AD89" s="145"/>
      <c r="AE89" s="348" t="s">
        <v>280</v>
      </c>
      <c r="AF89" s="354" t="s">
        <v>79</v>
      </c>
    </row>
    <row r="90" spans="2:32">
      <c r="B90" s="514" t="str">
        <f>IF(AND(Validator!J584=TRUE,Validator!J84=TRUE,Validator!J334,Validator!J334=TRUE,Validator!J834=TRUE,Validator!J1084=TRUE,Validator!J1334=TRUE),"Valid","Invalid")</f>
        <v>Valid</v>
      </c>
      <c r="C90" s="144"/>
      <c r="D90" s="364"/>
      <c r="E90" s="145"/>
      <c r="F90" s="580"/>
      <c r="G90" s="309"/>
      <c r="H90" s="580"/>
      <c r="I90" s="296"/>
      <c r="J90" s="376"/>
      <c r="K90" s="146"/>
      <c r="L90" s="539"/>
      <c r="M90" s="469"/>
      <c r="N90" s="373"/>
      <c r="O90" s="348" t="s">
        <v>280</v>
      </c>
      <c r="P90" s="349" t="s">
        <v>79</v>
      </c>
      <c r="Q90" s="516"/>
      <c r="R90" s="467"/>
      <c r="S90" s="517"/>
      <c r="T90" s="517"/>
      <c r="U90" s="171" t="str">
        <f>IF(ISERROR(VLOOKUP($T90, 'Reference data'!$J$2:$K$139, 2, FALSE)),"-",VLOOKUP($T90, 'Reference data'!$J$2:$K$139, 2, FALSE))</f>
        <v>-</v>
      </c>
      <c r="V90" s="147"/>
      <c r="W90" s="147"/>
      <c r="X90" s="471"/>
      <c r="Y90" s="472"/>
      <c r="Z90" s="352"/>
      <c r="AA90" s="520"/>
      <c r="AB90" s="163"/>
      <c r="AC90" s="148"/>
      <c r="AD90" s="145"/>
      <c r="AE90" s="348" t="s">
        <v>280</v>
      </c>
      <c r="AF90" s="354" t="s">
        <v>79</v>
      </c>
    </row>
    <row r="91" spans="2:32">
      <c r="B91" s="514" t="str">
        <f>IF(AND(Validator!J585=TRUE,Validator!J85=TRUE,Validator!J335,Validator!J335=TRUE,Validator!J835=TRUE,Validator!J1085=TRUE,Validator!J1335=TRUE),"Valid","Invalid")</f>
        <v>Valid</v>
      </c>
      <c r="C91" s="144"/>
      <c r="D91" s="364"/>
      <c r="E91" s="145"/>
      <c r="F91" s="580"/>
      <c r="G91" s="309"/>
      <c r="H91" s="580"/>
      <c r="I91" s="296"/>
      <c r="J91" s="376"/>
      <c r="K91" s="146"/>
      <c r="L91" s="539"/>
      <c r="M91" s="469"/>
      <c r="N91" s="373"/>
      <c r="O91" s="348" t="s">
        <v>280</v>
      </c>
      <c r="P91" s="349" t="s">
        <v>79</v>
      </c>
      <c r="Q91" s="516"/>
      <c r="R91" s="467"/>
      <c r="S91" s="517"/>
      <c r="T91" s="517"/>
      <c r="U91" s="171" t="str">
        <f>IF(ISERROR(VLOOKUP($T91, 'Reference data'!$J$2:$K$139, 2, FALSE)),"-",VLOOKUP($T91, 'Reference data'!$J$2:$K$139, 2, FALSE))</f>
        <v>-</v>
      </c>
      <c r="V91" s="147"/>
      <c r="W91" s="147"/>
      <c r="X91" s="471"/>
      <c r="Y91" s="472"/>
      <c r="Z91" s="352"/>
      <c r="AA91" s="520"/>
      <c r="AB91" s="163"/>
      <c r="AC91" s="148"/>
      <c r="AD91" s="145"/>
      <c r="AE91" s="348" t="s">
        <v>280</v>
      </c>
      <c r="AF91" s="354" t="s">
        <v>79</v>
      </c>
    </row>
    <row r="92" spans="2:32">
      <c r="B92" s="514" t="str">
        <f>IF(AND(Validator!J586=TRUE,Validator!J86=TRUE,Validator!J336,Validator!J336=TRUE,Validator!J836=TRUE,Validator!J1086=TRUE,Validator!J1336=TRUE),"Valid","Invalid")</f>
        <v>Valid</v>
      </c>
      <c r="C92" s="144"/>
      <c r="D92" s="364"/>
      <c r="E92" s="145"/>
      <c r="F92" s="580"/>
      <c r="G92" s="309"/>
      <c r="H92" s="580"/>
      <c r="I92" s="296"/>
      <c r="J92" s="376"/>
      <c r="K92" s="146"/>
      <c r="L92" s="539"/>
      <c r="M92" s="469"/>
      <c r="N92" s="373"/>
      <c r="O92" s="348" t="s">
        <v>280</v>
      </c>
      <c r="P92" s="349" t="s">
        <v>79</v>
      </c>
      <c r="Q92" s="516"/>
      <c r="R92" s="467"/>
      <c r="S92" s="517"/>
      <c r="T92" s="517"/>
      <c r="U92" s="171" t="str">
        <f>IF(ISERROR(VLOOKUP($T92, 'Reference data'!$J$2:$K$139, 2, FALSE)),"-",VLOOKUP($T92, 'Reference data'!$J$2:$K$139, 2, FALSE))</f>
        <v>-</v>
      </c>
      <c r="V92" s="147"/>
      <c r="W92" s="147"/>
      <c r="X92" s="471"/>
      <c r="Y92" s="472"/>
      <c r="Z92" s="352"/>
      <c r="AA92" s="520"/>
      <c r="AB92" s="163"/>
      <c r="AC92" s="148"/>
      <c r="AD92" s="145"/>
      <c r="AE92" s="348" t="s">
        <v>280</v>
      </c>
      <c r="AF92" s="354" t="s">
        <v>79</v>
      </c>
    </row>
    <row r="93" spans="2:32">
      <c r="B93" s="514" t="str">
        <f>IF(AND(Validator!J587=TRUE,Validator!J87=TRUE,Validator!J337,Validator!J337=TRUE,Validator!J837=TRUE,Validator!J1087=TRUE,Validator!J1337=TRUE),"Valid","Invalid")</f>
        <v>Valid</v>
      </c>
      <c r="C93" s="144"/>
      <c r="D93" s="364"/>
      <c r="E93" s="145"/>
      <c r="F93" s="580"/>
      <c r="G93" s="309"/>
      <c r="H93" s="580"/>
      <c r="I93" s="296"/>
      <c r="J93" s="376"/>
      <c r="K93" s="146"/>
      <c r="L93" s="539"/>
      <c r="M93" s="469"/>
      <c r="N93" s="373"/>
      <c r="O93" s="348" t="s">
        <v>280</v>
      </c>
      <c r="P93" s="349" t="s">
        <v>79</v>
      </c>
      <c r="Q93" s="516"/>
      <c r="R93" s="467"/>
      <c r="S93" s="517"/>
      <c r="T93" s="517"/>
      <c r="U93" s="171" t="str">
        <f>IF(ISERROR(VLOOKUP($T93, 'Reference data'!$J$2:$K$139, 2, FALSE)),"-",VLOOKUP($T93, 'Reference data'!$J$2:$K$139, 2, FALSE))</f>
        <v>-</v>
      </c>
      <c r="V93" s="147"/>
      <c r="W93" s="147"/>
      <c r="X93" s="471"/>
      <c r="Y93" s="472"/>
      <c r="Z93" s="352"/>
      <c r="AA93" s="520"/>
      <c r="AB93" s="163"/>
      <c r="AC93" s="148"/>
      <c r="AD93" s="145"/>
      <c r="AE93" s="348" t="s">
        <v>280</v>
      </c>
      <c r="AF93" s="354" t="s">
        <v>79</v>
      </c>
    </row>
    <row r="94" spans="2:32">
      <c r="B94" s="514" t="str">
        <f>IF(AND(Validator!J588=TRUE,Validator!J88=TRUE,Validator!J338,Validator!J338=TRUE,Validator!J838=TRUE,Validator!J1088=TRUE,Validator!J1338=TRUE),"Valid","Invalid")</f>
        <v>Valid</v>
      </c>
      <c r="C94" s="144"/>
      <c r="D94" s="364"/>
      <c r="E94" s="145"/>
      <c r="F94" s="580"/>
      <c r="G94" s="309"/>
      <c r="H94" s="580"/>
      <c r="I94" s="296"/>
      <c r="J94" s="376"/>
      <c r="K94" s="146"/>
      <c r="L94" s="539"/>
      <c r="M94" s="469"/>
      <c r="N94" s="373"/>
      <c r="O94" s="348" t="s">
        <v>280</v>
      </c>
      <c r="P94" s="349" t="s">
        <v>79</v>
      </c>
      <c r="Q94" s="516"/>
      <c r="R94" s="467"/>
      <c r="S94" s="517"/>
      <c r="T94" s="517"/>
      <c r="U94" s="171" t="str">
        <f>IF(ISERROR(VLOOKUP($T94, 'Reference data'!$J$2:$K$139, 2, FALSE)),"-",VLOOKUP($T94, 'Reference data'!$J$2:$K$139, 2, FALSE))</f>
        <v>-</v>
      </c>
      <c r="V94" s="147"/>
      <c r="W94" s="147"/>
      <c r="X94" s="471"/>
      <c r="Y94" s="472"/>
      <c r="Z94" s="352"/>
      <c r="AA94" s="520"/>
      <c r="AB94" s="163"/>
      <c r="AC94" s="148"/>
      <c r="AD94" s="145"/>
      <c r="AE94" s="348" t="s">
        <v>280</v>
      </c>
      <c r="AF94" s="354" t="s">
        <v>79</v>
      </c>
    </row>
    <row r="95" spans="2:32">
      <c r="B95" s="514" t="str">
        <f>IF(AND(Validator!J589=TRUE,Validator!J89=TRUE,Validator!J339,Validator!J339=TRUE,Validator!J839=TRUE,Validator!J1089=TRUE,Validator!J1339=TRUE),"Valid","Invalid")</f>
        <v>Valid</v>
      </c>
      <c r="C95" s="144"/>
      <c r="D95" s="364"/>
      <c r="E95" s="145"/>
      <c r="F95" s="580"/>
      <c r="G95" s="309"/>
      <c r="H95" s="580"/>
      <c r="I95" s="296"/>
      <c r="J95" s="376"/>
      <c r="K95" s="146"/>
      <c r="L95" s="539"/>
      <c r="M95" s="469"/>
      <c r="N95" s="373"/>
      <c r="O95" s="348" t="s">
        <v>280</v>
      </c>
      <c r="P95" s="349" t="s">
        <v>79</v>
      </c>
      <c r="Q95" s="516"/>
      <c r="R95" s="467"/>
      <c r="S95" s="517"/>
      <c r="T95" s="517"/>
      <c r="U95" s="171" t="str">
        <f>IF(ISERROR(VLOOKUP($T95, 'Reference data'!$J$2:$K$139, 2, FALSE)),"-",VLOOKUP($T95, 'Reference data'!$J$2:$K$139, 2, FALSE))</f>
        <v>-</v>
      </c>
      <c r="V95" s="147"/>
      <c r="W95" s="147"/>
      <c r="X95" s="471"/>
      <c r="Y95" s="472"/>
      <c r="Z95" s="352"/>
      <c r="AA95" s="520"/>
      <c r="AB95" s="163"/>
      <c r="AC95" s="148"/>
      <c r="AD95" s="145"/>
      <c r="AE95" s="348" t="s">
        <v>280</v>
      </c>
      <c r="AF95" s="354" t="s">
        <v>79</v>
      </c>
    </row>
    <row r="96" spans="2:32">
      <c r="B96" s="514" t="str">
        <f>IF(AND(Validator!J590=TRUE,Validator!J90=TRUE,Validator!J340,Validator!J340=TRUE,Validator!J840=TRUE,Validator!J1090=TRUE,Validator!J1340=TRUE),"Valid","Invalid")</f>
        <v>Valid</v>
      </c>
      <c r="C96" s="144"/>
      <c r="D96" s="364"/>
      <c r="E96" s="145"/>
      <c r="F96" s="580"/>
      <c r="G96" s="309"/>
      <c r="H96" s="580"/>
      <c r="I96" s="296"/>
      <c r="J96" s="376"/>
      <c r="K96" s="146"/>
      <c r="L96" s="539"/>
      <c r="M96" s="469"/>
      <c r="N96" s="373"/>
      <c r="O96" s="348" t="s">
        <v>280</v>
      </c>
      <c r="P96" s="349" t="s">
        <v>79</v>
      </c>
      <c r="Q96" s="516"/>
      <c r="R96" s="467"/>
      <c r="S96" s="517"/>
      <c r="T96" s="517"/>
      <c r="U96" s="171" t="str">
        <f>IF(ISERROR(VLOOKUP($T96, 'Reference data'!$J$2:$K$139, 2, FALSE)),"-",VLOOKUP($T96, 'Reference data'!$J$2:$K$139, 2, FALSE))</f>
        <v>-</v>
      </c>
      <c r="V96" s="147"/>
      <c r="W96" s="147"/>
      <c r="X96" s="471"/>
      <c r="Y96" s="472"/>
      <c r="Z96" s="352"/>
      <c r="AA96" s="520"/>
      <c r="AB96" s="163"/>
      <c r="AC96" s="148"/>
      <c r="AD96" s="145"/>
      <c r="AE96" s="348" t="s">
        <v>280</v>
      </c>
      <c r="AF96" s="354" t="s">
        <v>79</v>
      </c>
    </row>
    <row r="97" spans="2:32">
      <c r="B97" s="514" t="str">
        <f>IF(AND(Validator!J591=TRUE,Validator!J91=TRUE,Validator!J341,Validator!J341=TRUE,Validator!J841=TRUE,Validator!J1091=TRUE,Validator!J1341=TRUE),"Valid","Invalid")</f>
        <v>Valid</v>
      </c>
      <c r="C97" s="144"/>
      <c r="D97" s="364"/>
      <c r="E97" s="145"/>
      <c r="F97" s="580"/>
      <c r="G97" s="309"/>
      <c r="H97" s="580"/>
      <c r="I97" s="296"/>
      <c r="J97" s="376"/>
      <c r="K97" s="146"/>
      <c r="L97" s="539"/>
      <c r="M97" s="469"/>
      <c r="N97" s="373"/>
      <c r="O97" s="348" t="s">
        <v>280</v>
      </c>
      <c r="P97" s="349" t="s">
        <v>79</v>
      </c>
      <c r="Q97" s="516"/>
      <c r="R97" s="467"/>
      <c r="S97" s="517"/>
      <c r="T97" s="517"/>
      <c r="U97" s="171" t="str">
        <f>IF(ISERROR(VLOOKUP($T97, 'Reference data'!$J$2:$K$139, 2, FALSE)),"-",VLOOKUP($T97, 'Reference data'!$J$2:$K$139, 2, FALSE))</f>
        <v>-</v>
      </c>
      <c r="V97" s="147"/>
      <c r="W97" s="147"/>
      <c r="X97" s="471"/>
      <c r="Y97" s="472"/>
      <c r="Z97" s="352"/>
      <c r="AA97" s="520"/>
      <c r="AB97" s="163"/>
      <c r="AC97" s="148"/>
      <c r="AD97" s="145"/>
      <c r="AE97" s="348" t="s">
        <v>280</v>
      </c>
      <c r="AF97" s="354" t="s">
        <v>79</v>
      </c>
    </row>
    <row r="98" spans="2:32">
      <c r="B98" s="514" t="str">
        <f>IF(AND(Validator!J592=TRUE,Validator!J92=TRUE,Validator!J342,Validator!J342=TRUE,Validator!J842=TRUE,Validator!J1092=TRUE,Validator!J1342=TRUE),"Valid","Invalid")</f>
        <v>Valid</v>
      </c>
      <c r="C98" s="144"/>
      <c r="D98" s="364"/>
      <c r="E98" s="145"/>
      <c r="F98" s="580"/>
      <c r="G98" s="309"/>
      <c r="H98" s="580"/>
      <c r="I98" s="296"/>
      <c r="J98" s="376"/>
      <c r="K98" s="146"/>
      <c r="L98" s="539"/>
      <c r="M98" s="469"/>
      <c r="N98" s="373"/>
      <c r="O98" s="348" t="s">
        <v>280</v>
      </c>
      <c r="P98" s="349" t="s">
        <v>79</v>
      </c>
      <c r="Q98" s="516"/>
      <c r="R98" s="467"/>
      <c r="S98" s="517"/>
      <c r="T98" s="517"/>
      <c r="U98" s="171" t="str">
        <f>IF(ISERROR(VLOOKUP($T98, 'Reference data'!$J$2:$K$139, 2, FALSE)),"-",VLOOKUP($T98, 'Reference data'!$J$2:$K$139, 2, FALSE))</f>
        <v>-</v>
      </c>
      <c r="V98" s="147"/>
      <c r="W98" s="147"/>
      <c r="X98" s="471"/>
      <c r="Y98" s="472"/>
      <c r="Z98" s="352"/>
      <c r="AA98" s="520"/>
      <c r="AB98" s="163"/>
      <c r="AC98" s="148"/>
      <c r="AD98" s="145"/>
      <c r="AE98" s="348" t="s">
        <v>280</v>
      </c>
      <c r="AF98" s="354" t="s">
        <v>79</v>
      </c>
    </row>
    <row r="99" spans="2:32">
      <c r="B99" s="514" t="str">
        <f>IF(AND(Validator!J593=TRUE,Validator!J93=TRUE,Validator!J343,Validator!J343=TRUE,Validator!J843=TRUE,Validator!J1093=TRUE,Validator!J1343=TRUE),"Valid","Invalid")</f>
        <v>Valid</v>
      </c>
      <c r="C99" s="144"/>
      <c r="D99" s="364"/>
      <c r="E99" s="145"/>
      <c r="F99" s="580"/>
      <c r="G99" s="309"/>
      <c r="H99" s="580"/>
      <c r="I99" s="296"/>
      <c r="J99" s="376"/>
      <c r="K99" s="146"/>
      <c r="L99" s="539"/>
      <c r="M99" s="469"/>
      <c r="N99" s="373"/>
      <c r="O99" s="348" t="s">
        <v>280</v>
      </c>
      <c r="P99" s="349" t="s">
        <v>79</v>
      </c>
      <c r="Q99" s="516"/>
      <c r="R99" s="467"/>
      <c r="S99" s="517"/>
      <c r="T99" s="517"/>
      <c r="U99" s="171" t="str">
        <f>IF(ISERROR(VLOOKUP($T99, 'Reference data'!$J$2:$K$139, 2, FALSE)),"-",VLOOKUP($T99, 'Reference data'!$J$2:$K$139, 2, FALSE))</f>
        <v>-</v>
      </c>
      <c r="V99" s="147"/>
      <c r="W99" s="147"/>
      <c r="X99" s="471"/>
      <c r="Y99" s="472"/>
      <c r="Z99" s="352"/>
      <c r="AA99" s="520"/>
      <c r="AB99" s="163"/>
      <c r="AC99" s="148"/>
      <c r="AD99" s="145"/>
      <c r="AE99" s="348" t="s">
        <v>280</v>
      </c>
      <c r="AF99" s="354" t="s">
        <v>79</v>
      </c>
    </row>
    <row r="100" spans="2:32">
      <c r="B100" s="514" t="str">
        <f>IF(AND(Validator!J594=TRUE,Validator!J94=TRUE,Validator!J344,Validator!J344=TRUE,Validator!J844=TRUE,Validator!J1094=TRUE,Validator!J1344=TRUE),"Valid","Invalid")</f>
        <v>Valid</v>
      </c>
      <c r="C100" s="144"/>
      <c r="D100" s="364"/>
      <c r="E100" s="145"/>
      <c r="F100" s="580"/>
      <c r="G100" s="309"/>
      <c r="H100" s="580"/>
      <c r="I100" s="296"/>
      <c r="J100" s="376"/>
      <c r="K100" s="146"/>
      <c r="L100" s="539"/>
      <c r="M100" s="469"/>
      <c r="N100" s="373"/>
      <c r="O100" s="348" t="s">
        <v>280</v>
      </c>
      <c r="P100" s="349" t="s">
        <v>79</v>
      </c>
      <c r="Q100" s="516"/>
      <c r="R100" s="467"/>
      <c r="S100" s="517"/>
      <c r="T100" s="517"/>
      <c r="U100" s="171" t="str">
        <f>IF(ISERROR(VLOOKUP($T100, 'Reference data'!$J$2:$K$139, 2, FALSE)),"-",VLOOKUP($T100, 'Reference data'!$J$2:$K$139, 2, FALSE))</f>
        <v>-</v>
      </c>
      <c r="V100" s="147"/>
      <c r="W100" s="147"/>
      <c r="X100" s="471"/>
      <c r="Y100" s="472"/>
      <c r="Z100" s="352"/>
      <c r="AA100" s="520"/>
      <c r="AB100" s="163"/>
      <c r="AC100" s="148"/>
      <c r="AD100" s="145"/>
      <c r="AE100" s="348" t="s">
        <v>280</v>
      </c>
      <c r="AF100" s="354" t="s">
        <v>79</v>
      </c>
    </row>
    <row r="101" spans="2:32">
      <c r="B101" s="514" t="str">
        <f>IF(AND(Validator!J595=TRUE,Validator!J95=TRUE,Validator!J345,Validator!J345=TRUE,Validator!J845=TRUE,Validator!J1095=TRUE,Validator!J1345=TRUE),"Valid","Invalid")</f>
        <v>Valid</v>
      </c>
      <c r="C101" s="144"/>
      <c r="D101" s="364"/>
      <c r="E101" s="145"/>
      <c r="F101" s="580"/>
      <c r="G101" s="309"/>
      <c r="H101" s="580"/>
      <c r="I101" s="296"/>
      <c r="J101" s="376"/>
      <c r="K101" s="146"/>
      <c r="L101" s="539"/>
      <c r="M101" s="469"/>
      <c r="N101" s="373"/>
      <c r="O101" s="348" t="s">
        <v>280</v>
      </c>
      <c r="P101" s="349" t="s">
        <v>79</v>
      </c>
      <c r="Q101" s="516"/>
      <c r="R101" s="467"/>
      <c r="S101" s="517"/>
      <c r="T101" s="517"/>
      <c r="U101" s="171" t="str">
        <f>IF(ISERROR(VLOOKUP($T101, 'Reference data'!$J$2:$K$139, 2, FALSE)),"-",VLOOKUP($T101, 'Reference data'!$J$2:$K$139, 2, FALSE))</f>
        <v>-</v>
      </c>
      <c r="V101" s="147"/>
      <c r="W101" s="147"/>
      <c r="X101" s="471"/>
      <c r="Y101" s="472"/>
      <c r="Z101" s="352"/>
      <c r="AA101" s="520"/>
      <c r="AB101" s="163"/>
      <c r="AC101" s="148"/>
      <c r="AD101" s="145"/>
      <c r="AE101" s="348" t="s">
        <v>280</v>
      </c>
      <c r="AF101" s="354" t="s">
        <v>79</v>
      </c>
    </row>
    <row r="102" spans="2:32">
      <c r="B102" s="514" t="str">
        <f>IF(AND(Validator!J596=TRUE,Validator!J96=TRUE,Validator!J346,Validator!J346=TRUE,Validator!J846=TRUE,Validator!J1096=TRUE,Validator!J1346=TRUE),"Valid","Invalid")</f>
        <v>Valid</v>
      </c>
      <c r="C102" s="144"/>
      <c r="D102" s="364"/>
      <c r="E102" s="145"/>
      <c r="F102" s="580"/>
      <c r="G102" s="309"/>
      <c r="H102" s="580"/>
      <c r="I102" s="296"/>
      <c r="J102" s="376"/>
      <c r="K102" s="146"/>
      <c r="L102" s="539"/>
      <c r="M102" s="469"/>
      <c r="N102" s="373"/>
      <c r="O102" s="348" t="s">
        <v>280</v>
      </c>
      <c r="P102" s="349" t="s">
        <v>79</v>
      </c>
      <c r="Q102" s="516"/>
      <c r="R102" s="467"/>
      <c r="S102" s="517"/>
      <c r="T102" s="517"/>
      <c r="U102" s="171" t="str">
        <f>IF(ISERROR(VLOOKUP($T102, 'Reference data'!$J$2:$K$139, 2, FALSE)),"-",VLOOKUP($T102, 'Reference data'!$J$2:$K$139, 2, FALSE))</f>
        <v>-</v>
      </c>
      <c r="V102" s="147"/>
      <c r="W102" s="147"/>
      <c r="X102" s="471"/>
      <c r="Y102" s="472"/>
      <c r="Z102" s="352"/>
      <c r="AA102" s="520"/>
      <c r="AB102" s="163"/>
      <c r="AC102" s="148"/>
      <c r="AD102" s="145"/>
      <c r="AE102" s="348" t="s">
        <v>280</v>
      </c>
      <c r="AF102" s="354" t="s">
        <v>79</v>
      </c>
    </row>
    <row r="103" spans="2:32">
      <c r="B103" s="514" t="str">
        <f>IF(AND(Validator!J597=TRUE,Validator!J97=TRUE,Validator!J347,Validator!J347=TRUE,Validator!J847=TRUE,Validator!J1097=TRUE,Validator!J1347=TRUE),"Valid","Invalid")</f>
        <v>Valid</v>
      </c>
      <c r="C103" s="144"/>
      <c r="D103" s="364"/>
      <c r="E103" s="145"/>
      <c r="F103" s="580"/>
      <c r="G103" s="309"/>
      <c r="H103" s="580"/>
      <c r="I103" s="296"/>
      <c r="J103" s="376"/>
      <c r="K103" s="146"/>
      <c r="L103" s="539"/>
      <c r="M103" s="469"/>
      <c r="N103" s="373"/>
      <c r="O103" s="348" t="s">
        <v>280</v>
      </c>
      <c r="P103" s="349" t="s">
        <v>79</v>
      </c>
      <c r="Q103" s="516"/>
      <c r="R103" s="467"/>
      <c r="S103" s="517"/>
      <c r="T103" s="517"/>
      <c r="U103" s="171" t="str">
        <f>IF(ISERROR(VLOOKUP($T103, 'Reference data'!$J$2:$K$139, 2, FALSE)),"-",VLOOKUP($T103, 'Reference data'!$J$2:$K$139, 2, FALSE))</f>
        <v>-</v>
      </c>
      <c r="V103" s="147"/>
      <c r="W103" s="147"/>
      <c r="X103" s="471"/>
      <c r="Y103" s="472"/>
      <c r="Z103" s="352"/>
      <c r="AA103" s="520"/>
      <c r="AB103" s="163"/>
      <c r="AC103" s="148"/>
      <c r="AD103" s="145"/>
      <c r="AE103" s="348" t="s">
        <v>280</v>
      </c>
      <c r="AF103" s="354" t="s">
        <v>79</v>
      </c>
    </row>
    <row r="104" spans="2:32">
      <c r="B104" s="514" t="str">
        <f>IF(AND(Validator!J598=TRUE,Validator!J98=TRUE,Validator!J348,Validator!J348=TRUE,Validator!J848=TRUE,Validator!J1098=TRUE,Validator!J1348=TRUE),"Valid","Invalid")</f>
        <v>Valid</v>
      </c>
      <c r="C104" s="144"/>
      <c r="D104" s="364"/>
      <c r="E104" s="145"/>
      <c r="F104" s="580"/>
      <c r="G104" s="309"/>
      <c r="H104" s="580"/>
      <c r="I104" s="296"/>
      <c r="J104" s="376"/>
      <c r="K104" s="146"/>
      <c r="L104" s="539"/>
      <c r="M104" s="469"/>
      <c r="N104" s="373"/>
      <c r="O104" s="348" t="s">
        <v>280</v>
      </c>
      <c r="P104" s="349" t="s">
        <v>79</v>
      </c>
      <c r="Q104" s="516"/>
      <c r="R104" s="467"/>
      <c r="S104" s="517"/>
      <c r="T104" s="517"/>
      <c r="U104" s="171" t="str">
        <f>IF(ISERROR(VLOOKUP($T104, 'Reference data'!$J$2:$K$139, 2, FALSE)),"-",VLOOKUP($T104, 'Reference data'!$J$2:$K$139, 2, FALSE))</f>
        <v>-</v>
      </c>
      <c r="V104" s="147"/>
      <c r="W104" s="147"/>
      <c r="X104" s="471"/>
      <c r="Y104" s="472"/>
      <c r="Z104" s="352"/>
      <c r="AA104" s="520"/>
      <c r="AB104" s="163"/>
      <c r="AC104" s="148"/>
      <c r="AD104" s="145"/>
      <c r="AE104" s="348" t="s">
        <v>280</v>
      </c>
      <c r="AF104" s="354" t="s">
        <v>79</v>
      </c>
    </row>
    <row r="105" spans="2:32">
      <c r="B105" s="514" t="str">
        <f>IF(AND(Validator!J599=TRUE,Validator!J99=TRUE,Validator!J349,Validator!J349=TRUE,Validator!J849=TRUE,Validator!J1099=TRUE,Validator!J1349=TRUE),"Valid","Invalid")</f>
        <v>Valid</v>
      </c>
      <c r="C105" s="144"/>
      <c r="D105" s="364"/>
      <c r="E105" s="145"/>
      <c r="F105" s="580"/>
      <c r="G105" s="309"/>
      <c r="H105" s="580"/>
      <c r="I105" s="296"/>
      <c r="J105" s="376"/>
      <c r="K105" s="146"/>
      <c r="L105" s="539"/>
      <c r="M105" s="469"/>
      <c r="N105" s="373"/>
      <c r="O105" s="348" t="s">
        <v>280</v>
      </c>
      <c r="P105" s="349" t="s">
        <v>79</v>
      </c>
      <c r="Q105" s="516"/>
      <c r="R105" s="467"/>
      <c r="S105" s="517"/>
      <c r="T105" s="517"/>
      <c r="U105" s="171" t="str">
        <f>IF(ISERROR(VLOOKUP($T105, 'Reference data'!$J$2:$K$139, 2, FALSE)),"-",VLOOKUP($T105, 'Reference data'!$J$2:$K$139, 2, FALSE))</f>
        <v>-</v>
      </c>
      <c r="V105" s="147"/>
      <c r="W105" s="147"/>
      <c r="X105" s="471"/>
      <c r="Y105" s="472"/>
      <c r="Z105" s="352"/>
      <c r="AA105" s="520"/>
      <c r="AB105" s="163"/>
      <c r="AC105" s="148"/>
      <c r="AD105" s="145"/>
      <c r="AE105" s="348" t="s">
        <v>280</v>
      </c>
      <c r="AF105" s="354" t="s">
        <v>79</v>
      </c>
    </row>
    <row r="106" spans="2:32">
      <c r="B106" s="514" t="str">
        <f>IF(AND(Validator!J600=TRUE,Validator!J100=TRUE,Validator!J350,Validator!J350=TRUE,Validator!J850=TRUE,Validator!J1100=TRUE,Validator!J1350=TRUE),"Valid","Invalid")</f>
        <v>Valid</v>
      </c>
      <c r="C106" s="144"/>
      <c r="D106" s="364"/>
      <c r="E106" s="145"/>
      <c r="F106" s="580"/>
      <c r="G106" s="309"/>
      <c r="H106" s="580"/>
      <c r="I106" s="296"/>
      <c r="J106" s="376"/>
      <c r="K106" s="146"/>
      <c r="L106" s="539"/>
      <c r="M106" s="469"/>
      <c r="N106" s="373"/>
      <c r="O106" s="348" t="s">
        <v>280</v>
      </c>
      <c r="P106" s="349" t="s">
        <v>79</v>
      </c>
      <c r="Q106" s="516"/>
      <c r="R106" s="467"/>
      <c r="S106" s="517"/>
      <c r="T106" s="517"/>
      <c r="U106" s="171" t="str">
        <f>IF(ISERROR(VLOOKUP($T106, 'Reference data'!$J$2:$K$139, 2, FALSE)),"-",VLOOKUP($T106, 'Reference data'!$J$2:$K$139, 2, FALSE))</f>
        <v>-</v>
      </c>
      <c r="V106" s="147"/>
      <c r="W106" s="147"/>
      <c r="X106" s="471"/>
      <c r="Y106" s="472"/>
      <c r="Z106" s="352"/>
      <c r="AA106" s="520"/>
      <c r="AB106" s="163"/>
      <c r="AC106" s="148"/>
      <c r="AD106" s="145"/>
      <c r="AE106" s="348" t="s">
        <v>280</v>
      </c>
      <c r="AF106" s="354" t="s">
        <v>79</v>
      </c>
    </row>
    <row r="107" spans="2:32">
      <c r="B107" s="514" t="str">
        <f>IF(AND(Validator!J601=TRUE,Validator!J101=TRUE,Validator!J351,Validator!J351=TRUE,Validator!J851=TRUE,Validator!J1101=TRUE,Validator!J1351=TRUE),"Valid","Invalid")</f>
        <v>Valid</v>
      </c>
      <c r="C107" s="144"/>
      <c r="D107" s="364"/>
      <c r="E107" s="145"/>
      <c r="F107" s="580"/>
      <c r="G107" s="309"/>
      <c r="H107" s="580"/>
      <c r="I107" s="296"/>
      <c r="J107" s="376"/>
      <c r="K107" s="146"/>
      <c r="L107" s="539"/>
      <c r="M107" s="469"/>
      <c r="N107" s="373"/>
      <c r="O107" s="348" t="s">
        <v>280</v>
      </c>
      <c r="P107" s="349" t="s">
        <v>79</v>
      </c>
      <c r="Q107" s="516"/>
      <c r="R107" s="467"/>
      <c r="S107" s="517"/>
      <c r="T107" s="517"/>
      <c r="U107" s="171" t="str">
        <f>IF(ISERROR(VLOOKUP($T107, 'Reference data'!$J$2:$K$139, 2, FALSE)),"-",VLOOKUP($T107, 'Reference data'!$J$2:$K$139, 2, FALSE))</f>
        <v>-</v>
      </c>
      <c r="V107" s="147"/>
      <c r="W107" s="147"/>
      <c r="X107" s="471"/>
      <c r="Y107" s="472"/>
      <c r="Z107" s="352"/>
      <c r="AA107" s="520"/>
      <c r="AB107" s="163"/>
      <c r="AC107" s="148"/>
      <c r="AD107" s="145"/>
      <c r="AE107" s="348" t="s">
        <v>280</v>
      </c>
      <c r="AF107" s="354" t="s">
        <v>79</v>
      </c>
    </row>
    <row r="108" spans="2:32">
      <c r="B108" s="514" t="str">
        <f>IF(AND(Validator!J602=TRUE,Validator!J102=TRUE,Validator!J352,Validator!J352=TRUE,Validator!J852=TRUE,Validator!J1102=TRUE,Validator!J1352=TRUE),"Valid","Invalid")</f>
        <v>Valid</v>
      </c>
      <c r="C108" s="144"/>
      <c r="D108" s="364"/>
      <c r="E108" s="145"/>
      <c r="F108" s="580"/>
      <c r="G108" s="309"/>
      <c r="H108" s="580"/>
      <c r="I108" s="296"/>
      <c r="J108" s="376"/>
      <c r="K108" s="146"/>
      <c r="L108" s="539"/>
      <c r="M108" s="469"/>
      <c r="N108" s="373"/>
      <c r="O108" s="348" t="s">
        <v>280</v>
      </c>
      <c r="P108" s="349" t="s">
        <v>79</v>
      </c>
      <c r="Q108" s="516"/>
      <c r="R108" s="467"/>
      <c r="S108" s="517"/>
      <c r="T108" s="517"/>
      <c r="U108" s="171" t="str">
        <f>IF(ISERROR(VLOOKUP($T108, 'Reference data'!$J$2:$K$139, 2, FALSE)),"-",VLOOKUP($T108, 'Reference data'!$J$2:$K$139, 2, FALSE))</f>
        <v>-</v>
      </c>
      <c r="V108" s="147"/>
      <c r="W108" s="147"/>
      <c r="X108" s="471"/>
      <c r="Y108" s="472"/>
      <c r="Z108" s="352"/>
      <c r="AA108" s="520"/>
      <c r="AB108" s="163"/>
      <c r="AC108" s="148"/>
      <c r="AD108" s="145"/>
      <c r="AE108" s="348" t="s">
        <v>280</v>
      </c>
      <c r="AF108" s="354" t="s">
        <v>79</v>
      </c>
    </row>
    <row r="109" spans="2:32">
      <c r="B109" s="514" t="str">
        <f>IF(AND(Validator!J603=TRUE,Validator!J103=TRUE,Validator!J353,Validator!J353=TRUE,Validator!J853=TRUE,Validator!J1103=TRUE,Validator!J1353=TRUE),"Valid","Invalid")</f>
        <v>Valid</v>
      </c>
      <c r="C109" s="144"/>
      <c r="D109" s="364"/>
      <c r="E109" s="145"/>
      <c r="F109" s="580"/>
      <c r="G109" s="309"/>
      <c r="H109" s="580"/>
      <c r="I109" s="296"/>
      <c r="J109" s="376"/>
      <c r="K109" s="146"/>
      <c r="L109" s="539"/>
      <c r="M109" s="469"/>
      <c r="N109" s="373"/>
      <c r="O109" s="348" t="s">
        <v>280</v>
      </c>
      <c r="P109" s="349" t="s">
        <v>79</v>
      </c>
      <c r="Q109" s="516"/>
      <c r="R109" s="467"/>
      <c r="S109" s="517"/>
      <c r="T109" s="517"/>
      <c r="U109" s="171" t="str">
        <f>IF(ISERROR(VLOOKUP($T109, 'Reference data'!$J$2:$K$139, 2, FALSE)),"-",VLOOKUP($T109, 'Reference data'!$J$2:$K$139, 2, FALSE))</f>
        <v>-</v>
      </c>
      <c r="V109" s="147"/>
      <c r="W109" s="147"/>
      <c r="X109" s="471"/>
      <c r="Y109" s="472"/>
      <c r="Z109" s="352"/>
      <c r="AA109" s="520"/>
      <c r="AB109" s="163"/>
      <c r="AC109" s="148"/>
      <c r="AD109" s="145"/>
      <c r="AE109" s="348" t="s">
        <v>280</v>
      </c>
      <c r="AF109" s="354" t="s">
        <v>79</v>
      </c>
    </row>
    <row r="110" spans="2:32">
      <c r="B110" s="514" t="str">
        <f>IF(AND(Validator!J604=TRUE,Validator!J104=TRUE,Validator!J354,Validator!J354=TRUE,Validator!J854=TRUE,Validator!J1104=TRUE,Validator!J1354=TRUE),"Valid","Invalid")</f>
        <v>Valid</v>
      </c>
      <c r="C110" s="144"/>
      <c r="D110" s="364"/>
      <c r="E110" s="145"/>
      <c r="F110" s="580"/>
      <c r="G110" s="309"/>
      <c r="H110" s="580"/>
      <c r="I110" s="296"/>
      <c r="J110" s="376"/>
      <c r="K110" s="146"/>
      <c r="L110" s="539"/>
      <c r="M110" s="469"/>
      <c r="N110" s="373"/>
      <c r="O110" s="348" t="s">
        <v>280</v>
      </c>
      <c r="P110" s="349" t="s">
        <v>79</v>
      </c>
      <c r="Q110" s="516"/>
      <c r="R110" s="467"/>
      <c r="S110" s="517"/>
      <c r="T110" s="517"/>
      <c r="U110" s="171" t="str">
        <f>IF(ISERROR(VLOOKUP($T110, 'Reference data'!$J$2:$K$139, 2, FALSE)),"-",VLOOKUP($T110, 'Reference data'!$J$2:$K$139, 2, FALSE))</f>
        <v>-</v>
      </c>
      <c r="V110" s="147"/>
      <c r="W110" s="147"/>
      <c r="X110" s="471"/>
      <c r="Y110" s="472"/>
      <c r="Z110" s="352"/>
      <c r="AA110" s="520"/>
      <c r="AB110" s="163"/>
      <c r="AC110" s="148"/>
      <c r="AD110" s="145"/>
      <c r="AE110" s="348" t="s">
        <v>280</v>
      </c>
      <c r="AF110" s="354" t="s">
        <v>79</v>
      </c>
    </row>
    <row r="111" spans="2:32">
      <c r="B111" s="514" t="str">
        <f>IF(AND(Validator!J605=TRUE,Validator!J105=TRUE,Validator!J355,Validator!J355=TRUE,Validator!J855=TRUE,Validator!J1105=TRUE,Validator!J1355=TRUE),"Valid","Invalid")</f>
        <v>Valid</v>
      </c>
      <c r="C111" s="144"/>
      <c r="D111" s="364"/>
      <c r="E111" s="145"/>
      <c r="F111" s="580"/>
      <c r="G111" s="309"/>
      <c r="H111" s="580"/>
      <c r="I111" s="296"/>
      <c r="J111" s="376"/>
      <c r="K111" s="146"/>
      <c r="L111" s="539"/>
      <c r="M111" s="469"/>
      <c r="N111" s="373"/>
      <c r="O111" s="348" t="s">
        <v>280</v>
      </c>
      <c r="P111" s="349" t="s">
        <v>79</v>
      </c>
      <c r="Q111" s="516"/>
      <c r="R111" s="467"/>
      <c r="S111" s="517"/>
      <c r="T111" s="517"/>
      <c r="U111" s="171" t="str">
        <f>IF(ISERROR(VLOOKUP($T111, 'Reference data'!$J$2:$K$139, 2, FALSE)),"-",VLOOKUP($T111, 'Reference data'!$J$2:$K$139, 2, FALSE))</f>
        <v>-</v>
      </c>
      <c r="V111" s="147"/>
      <c r="W111" s="147"/>
      <c r="X111" s="471"/>
      <c r="Y111" s="472"/>
      <c r="Z111" s="352"/>
      <c r="AA111" s="520"/>
      <c r="AB111" s="163"/>
      <c r="AC111" s="148"/>
      <c r="AD111" s="145"/>
      <c r="AE111" s="348" t="s">
        <v>280</v>
      </c>
      <c r="AF111" s="354" t="s">
        <v>79</v>
      </c>
    </row>
    <row r="112" spans="2:32">
      <c r="B112" s="514" t="str">
        <f>IF(AND(Validator!J606=TRUE,Validator!J106=TRUE,Validator!J356,Validator!J356=TRUE,Validator!J856=TRUE,Validator!J1106=TRUE,Validator!J1356=TRUE),"Valid","Invalid")</f>
        <v>Valid</v>
      </c>
      <c r="C112" s="144"/>
      <c r="D112" s="364"/>
      <c r="E112" s="145"/>
      <c r="F112" s="580"/>
      <c r="G112" s="309"/>
      <c r="H112" s="580"/>
      <c r="I112" s="296"/>
      <c r="J112" s="376"/>
      <c r="K112" s="146"/>
      <c r="L112" s="539"/>
      <c r="M112" s="469"/>
      <c r="N112" s="373"/>
      <c r="O112" s="348" t="s">
        <v>280</v>
      </c>
      <c r="P112" s="349" t="s">
        <v>79</v>
      </c>
      <c r="Q112" s="516"/>
      <c r="R112" s="467"/>
      <c r="S112" s="517"/>
      <c r="T112" s="517"/>
      <c r="U112" s="171" t="str">
        <f>IF(ISERROR(VLOOKUP($T112, 'Reference data'!$J$2:$K$139, 2, FALSE)),"-",VLOOKUP($T112, 'Reference data'!$J$2:$K$139, 2, FALSE))</f>
        <v>-</v>
      </c>
      <c r="V112" s="147"/>
      <c r="W112" s="147"/>
      <c r="X112" s="471"/>
      <c r="Y112" s="472"/>
      <c r="Z112" s="352"/>
      <c r="AA112" s="520"/>
      <c r="AB112" s="163"/>
      <c r="AC112" s="148"/>
      <c r="AD112" s="145"/>
      <c r="AE112" s="348" t="s">
        <v>280</v>
      </c>
      <c r="AF112" s="354" t="s">
        <v>79</v>
      </c>
    </row>
    <row r="113" spans="2:32">
      <c r="B113" s="514" t="str">
        <f>IF(AND(Validator!J607=TRUE,Validator!J107=TRUE,Validator!J357,Validator!J357=TRUE,Validator!J857=TRUE,Validator!J1107=TRUE,Validator!J1357=TRUE),"Valid","Invalid")</f>
        <v>Valid</v>
      </c>
      <c r="C113" s="144"/>
      <c r="D113" s="364"/>
      <c r="E113" s="145"/>
      <c r="F113" s="580"/>
      <c r="G113" s="309"/>
      <c r="H113" s="580"/>
      <c r="I113" s="296"/>
      <c r="J113" s="376"/>
      <c r="K113" s="146"/>
      <c r="L113" s="539"/>
      <c r="M113" s="469"/>
      <c r="N113" s="373"/>
      <c r="O113" s="348" t="s">
        <v>280</v>
      </c>
      <c r="P113" s="349" t="s">
        <v>79</v>
      </c>
      <c r="Q113" s="516"/>
      <c r="R113" s="467"/>
      <c r="S113" s="517"/>
      <c r="T113" s="517"/>
      <c r="U113" s="171" t="str">
        <f>IF(ISERROR(VLOOKUP($T113, 'Reference data'!$J$2:$K$139, 2, FALSE)),"-",VLOOKUP($T113, 'Reference data'!$J$2:$K$139, 2, FALSE))</f>
        <v>-</v>
      </c>
      <c r="V113" s="147"/>
      <c r="W113" s="147"/>
      <c r="X113" s="471"/>
      <c r="Y113" s="472"/>
      <c r="Z113" s="352"/>
      <c r="AA113" s="520"/>
      <c r="AB113" s="163"/>
      <c r="AC113" s="148"/>
      <c r="AD113" s="145"/>
      <c r="AE113" s="348" t="s">
        <v>280</v>
      </c>
      <c r="AF113" s="354" t="s">
        <v>79</v>
      </c>
    </row>
    <row r="114" spans="2:32">
      <c r="B114" s="514" t="str">
        <f>IF(AND(Validator!J608=TRUE,Validator!J108=TRUE,Validator!J358,Validator!J358=TRUE,Validator!J858=TRUE,Validator!J1108=TRUE,Validator!J1358=TRUE),"Valid","Invalid")</f>
        <v>Valid</v>
      </c>
      <c r="C114" s="144"/>
      <c r="D114" s="364"/>
      <c r="E114" s="145"/>
      <c r="F114" s="580"/>
      <c r="G114" s="309"/>
      <c r="H114" s="580"/>
      <c r="I114" s="296"/>
      <c r="J114" s="376"/>
      <c r="K114" s="146"/>
      <c r="L114" s="539"/>
      <c r="M114" s="469"/>
      <c r="N114" s="373"/>
      <c r="O114" s="348" t="s">
        <v>280</v>
      </c>
      <c r="P114" s="349" t="s">
        <v>79</v>
      </c>
      <c r="Q114" s="516"/>
      <c r="R114" s="467"/>
      <c r="S114" s="517"/>
      <c r="T114" s="517"/>
      <c r="U114" s="171" t="str">
        <f>IF(ISERROR(VLOOKUP($T114, 'Reference data'!$J$2:$K$139, 2, FALSE)),"-",VLOOKUP($T114, 'Reference data'!$J$2:$K$139, 2, FALSE))</f>
        <v>-</v>
      </c>
      <c r="V114" s="147"/>
      <c r="W114" s="147"/>
      <c r="X114" s="471"/>
      <c r="Y114" s="472"/>
      <c r="Z114" s="352"/>
      <c r="AA114" s="520"/>
      <c r="AB114" s="163"/>
      <c r="AC114" s="148"/>
      <c r="AD114" s="145"/>
      <c r="AE114" s="348" t="s">
        <v>280</v>
      </c>
      <c r="AF114" s="354" t="s">
        <v>79</v>
      </c>
    </row>
    <row r="115" spans="2:32">
      <c r="B115" s="514" t="str">
        <f>IF(AND(Validator!J609=TRUE,Validator!J109=TRUE,Validator!J359,Validator!J359=TRUE,Validator!J859=TRUE,Validator!J1109=TRUE,Validator!J1359=TRUE),"Valid","Invalid")</f>
        <v>Valid</v>
      </c>
      <c r="C115" s="144"/>
      <c r="D115" s="364"/>
      <c r="E115" s="145"/>
      <c r="F115" s="580"/>
      <c r="G115" s="309"/>
      <c r="H115" s="580"/>
      <c r="I115" s="296"/>
      <c r="J115" s="376"/>
      <c r="K115" s="146"/>
      <c r="L115" s="539"/>
      <c r="M115" s="469"/>
      <c r="N115" s="373"/>
      <c r="O115" s="348" t="s">
        <v>280</v>
      </c>
      <c r="P115" s="349" t="s">
        <v>79</v>
      </c>
      <c r="Q115" s="516"/>
      <c r="R115" s="467"/>
      <c r="S115" s="517"/>
      <c r="T115" s="517"/>
      <c r="U115" s="171" t="str">
        <f>IF(ISERROR(VLOOKUP($T115, 'Reference data'!$J$2:$K$139, 2, FALSE)),"-",VLOOKUP($T115, 'Reference data'!$J$2:$K$139, 2, FALSE))</f>
        <v>-</v>
      </c>
      <c r="V115" s="147"/>
      <c r="W115" s="147"/>
      <c r="X115" s="471"/>
      <c r="Y115" s="472"/>
      <c r="Z115" s="352"/>
      <c r="AA115" s="520"/>
      <c r="AB115" s="163"/>
      <c r="AC115" s="148"/>
      <c r="AD115" s="145"/>
      <c r="AE115" s="348" t="s">
        <v>280</v>
      </c>
      <c r="AF115" s="354" t="s">
        <v>79</v>
      </c>
    </row>
    <row r="116" spans="2:32">
      <c r="B116" s="514" t="str">
        <f>IF(AND(Validator!J610=TRUE,Validator!J110=TRUE,Validator!J360,Validator!J360=TRUE,Validator!J860=TRUE,Validator!J1110=TRUE,Validator!J1360=TRUE),"Valid","Invalid")</f>
        <v>Valid</v>
      </c>
      <c r="C116" s="144"/>
      <c r="D116" s="364"/>
      <c r="E116" s="145"/>
      <c r="F116" s="580"/>
      <c r="G116" s="309"/>
      <c r="H116" s="580"/>
      <c r="I116" s="296"/>
      <c r="J116" s="376"/>
      <c r="K116" s="146"/>
      <c r="L116" s="539"/>
      <c r="M116" s="469"/>
      <c r="N116" s="373"/>
      <c r="O116" s="348" t="s">
        <v>280</v>
      </c>
      <c r="P116" s="349" t="s">
        <v>79</v>
      </c>
      <c r="Q116" s="516"/>
      <c r="R116" s="467"/>
      <c r="S116" s="517"/>
      <c r="T116" s="517"/>
      <c r="U116" s="171" t="str">
        <f>IF(ISERROR(VLOOKUP($T116, 'Reference data'!$J$2:$K$139, 2, FALSE)),"-",VLOOKUP($T116, 'Reference data'!$J$2:$K$139, 2, FALSE))</f>
        <v>-</v>
      </c>
      <c r="V116" s="147"/>
      <c r="W116" s="147"/>
      <c r="X116" s="471"/>
      <c r="Y116" s="472"/>
      <c r="Z116" s="352"/>
      <c r="AA116" s="520"/>
      <c r="AB116" s="163"/>
      <c r="AC116" s="148"/>
      <c r="AD116" s="145"/>
      <c r="AE116" s="348" t="s">
        <v>280</v>
      </c>
      <c r="AF116" s="354" t="s">
        <v>79</v>
      </c>
    </row>
    <row r="117" spans="2:32">
      <c r="B117" s="514" t="str">
        <f>IF(AND(Validator!J611=TRUE,Validator!J111=TRUE,Validator!J361,Validator!J361=TRUE,Validator!J861=TRUE,Validator!J1111=TRUE,Validator!J1361=TRUE),"Valid","Invalid")</f>
        <v>Valid</v>
      </c>
      <c r="C117" s="144"/>
      <c r="D117" s="364"/>
      <c r="E117" s="145"/>
      <c r="F117" s="580"/>
      <c r="G117" s="309"/>
      <c r="H117" s="580"/>
      <c r="I117" s="296"/>
      <c r="J117" s="376"/>
      <c r="K117" s="146"/>
      <c r="L117" s="539"/>
      <c r="M117" s="469"/>
      <c r="N117" s="373"/>
      <c r="O117" s="348" t="s">
        <v>280</v>
      </c>
      <c r="P117" s="349" t="s">
        <v>79</v>
      </c>
      <c r="Q117" s="516"/>
      <c r="R117" s="467"/>
      <c r="S117" s="517"/>
      <c r="T117" s="517"/>
      <c r="U117" s="171" t="str">
        <f>IF(ISERROR(VLOOKUP($T117, 'Reference data'!$J$2:$K$139, 2, FALSE)),"-",VLOOKUP($T117, 'Reference data'!$J$2:$K$139, 2, FALSE))</f>
        <v>-</v>
      </c>
      <c r="V117" s="147"/>
      <c r="W117" s="147"/>
      <c r="X117" s="471"/>
      <c r="Y117" s="472"/>
      <c r="Z117" s="352"/>
      <c r="AA117" s="520"/>
      <c r="AB117" s="163"/>
      <c r="AC117" s="148"/>
      <c r="AD117" s="145"/>
      <c r="AE117" s="348" t="s">
        <v>280</v>
      </c>
      <c r="AF117" s="354" t="s">
        <v>79</v>
      </c>
    </row>
    <row r="118" spans="2:32">
      <c r="B118" s="514" t="str">
        <f>IF(AND(Validator!J612=TRUE,Validator!J112=TRUE,Validator!J362,Validator!J362=TRUE,Validator!J862=TRUE,Validator!J1112=TRUE,Validator!J1362=TRUE),"Valid","Invalid")</f>
        <v>Valid</v>
      </c>
      <c r="C118" s="144"/>
      <c r="D118" s="364"/>
      <c r="E118" s="145"/>
      <c r="F118" s="580"/>
      <c r="G118" s="309"/>
      <c r="H118" s="580"/>
      <c r="I118" s="296"/>
      <c r="J118" s="376"/>
      <c r="K118" s="146"/>
      <c r="L118" s="539"/>
      <c r="M118" s="469"/>
      <c r="N118" s="373"/>
      <c r="O118" s="348" t="s">
        <v>280</v>
      </c>
      <c r="P118" s="349" t="s">
        <v>79</v>
      </c>
      <c r="Q118" s="516"/>
      <c r="R118" s="467"/>
      <c r="S118" s="517"/>
      <c r="T118" s="517"/>
      <c r="U118" s="171" t="str">
        <f>IF(ISERROR(VLOOKUP($T118, 'Reference data'!$J$2:$K$139, 2, FALSE)),"-",VLOOKUP($T118, 'Reference data'!$J$2:$K$139, 2, FALSE))</f>
        <v>-</v>
      </c>
      <c r="V118" s="147"/>
      <c r="W118" s="147"/>
      <c r="X118" s="471"/>
      <c r="Y118" s="472"/>
      <c r="Z118" s="352"/>
      <c r="AA118" s="520"/>
      <c r="AB118" s="163"/>
      <c r="AC118" s="148"/>
      <c r="AD118" s="145"/>
      <c r="AE118" s="348" t="s">
        <v>280</v>
      </c>
      <c r="AF118" s="354" t="s">
        <v>79</v>
      </c>
    </row>
    <row r="119" spans="2:32">
      <c r="B119" s="514" t="str">
        <f>IF(AND(Validator!J613=TRUE,Validator!J113=TRUE,Validator!J363,Validator!J363=TRUE,Validator!J863=TRUE,Validator!J1113=TRUE,Validator!J1363=TRUE),"Valid","Invalid")</f>
        <v>Valid</v>
      </c>
      <c r="C119" s="144"/>
      <c r="D119" s="364"/>
      <c r="E119" s="145"/>
      <c r="F119" s="580"/>
      <c r="G119" s="309"/>
      <c r="H119" s="580"/>
      <c r="I119" s="296"/>
      <c r="J119" s="376"/>
      <c r="K119" s="146"/>
      <c r="L119" s="539"/>
      <c r="M119" s="469"/>
      <c r="N119" s="373"/>
      <c r="O119" s="348" t="s">
        <v>280</v>
      </c>
      <c r="P119" s="349" t="s">
        <v>79</v>
      </c>
      <c r="Q119" s="516"/>
      <c r="R119" s="467"/>
      <c r="S119" s="517"/>
      <c r="T119" s="517"/>
      <c r="U119" s="171" t="str">
        <f>IF(ISERROR(VLOOKUP($T119, 'Reference data'!$J$2:$K$139, 2, FALSE)),"-",VLOOKUP($T119, 'Reference data'!$J$2:$K$139, 2, FALSE))</f>
        <v>-</v>
      </c>
      <c r="V119" s="147"/>
      <c r="W119" s="147"/>
      <c r="X119" s="471"/>
      <c r="Y119" s="472"/>
      <c r="Z119" s="352"/>
      <c r="AA119" s="520"/>
      <c r="AB119" s="163"/>
      <c r="AC119" s="148"/>
      <c r="AD119" s="145"/>
      <c r="AE119" s="348" t="s">
        <v>280</v>
      </c>
      <c r="AF119" s="354" t="s">
        <v>79</v>
      </c>
    </row>
    <row r="120" spans="2:32">
      <c r="B120" s="514" t="str">
        <f>IF(AND(Validator!J614=TRUE,Validator!J114=TRUE,Validator!J364,Validator!J364=TRUE,Validator!J864=TRUE,Validator!J1114=TRUE,Validator!J1364=TRUE),"Valid","Invalid")</f>
        <v>Valid</v>
      </c>
      <c r="C120" s="144"/>
      <c r="D120" s="364"/>
      <c r="E120" s="145"/>
      <c r="F120" s="580"/>
      <c r="G120" s="309"/>
      <c r="H120" s="580"/>
      <c r="I120" s="296"/>
      <c r="J120" s="376"/>
      <c r="K120" s="146"/>
      <c r="L120" s="539"/>
      <c r="M120" s="469"/>
      <c r="N120" s="373"/>
      <c r="O120" s="348" t="s">
        <v>280</v>
      </c>
      <c r="P120" s="349" t="s">
        <v>79</v>
      </c>
      <c r="Q120" s="516"/>
      <c r="R120" s="467"/>
      <c r="S120" s="517"/>
      <c r="T120" s="517"/>
      <c r="U120" s="171" t="str">
        <f>IF(ISERROR(VLOOKUP($T120, 'Reference data'!$J$2:$K$139, 2, FALSE)),"-",VLOOKUP($T120, 'Reference data'!$J$2:$K$139, 2, FALSE))</f>
        <v>-</v>
      </c>
      <c r="V120" s="147"/>
      <c r="W120" s="147"/>
      <c r="X120" s="471"/>
      <c r="Y120" s="472"/>
      <c r="Z120" s="352"/>
      <c r="AA120" s="520"/>
      <c r="AB120" s="163"/>
      <c r="AC120" s="148"/>
      <c r="AD120" s="145"/>
      <c r="AE120" s="348" t="s">
        <v>280</v>
      </c>
      <c r="AF120" s="354" t="s">
        <v>79</v>
      </c>
    </row>
    <row r="121" spans="2:32">
      <c r="B121" s="514" t="str">
        <f>IF(AND(Validator!J615=TRUE,Validator!J115=TRUE,Validator!J365,Validator!J365=TRUE,Validator!J865=TRUE,Validator!J1115=TRUE,Validator!J1365=TRUE),"Valid","Invalid")</f>
        <v>Valid</v>
      </c>
      <c r="C121" s="144"/>
      <c r="D121" s="364"/>
      <c r="E121" s="145"/>
      <c r="F121" s="580"/>
      <c r="G121" s="309"/>
      <c r="H121" s="580"/>
      <c r="I121" s="296"/>
      <c r="J121" s="376"/>
      <c r="K121" s="146"/>
      <c r="L121" s="539"/>
      <c r="M121" s="469"/>
      <c r="N121" s="373"/>
      <c r="O121" s="348" t="s">
        <v>280</v>
      </c>
      <c r="P121" s="349" t="s">
        <v>79</v>
      </c>
      <c r="Q121" s="516"/>
      <c r="R121" s="467"/>
      <c r="S121" s="517"/>
      <c r="T121" s="517"/>
      <c r="U121" s="171" t="str">
        <f>IF(ISERROR(VLOOKUP($T121, 'Reference data'!$J$2:$K$139, 2, FALSE)),"-",VLOOKUP($T121, 'Reference data'!$J$2:$K$139, 2, FALSE))</f>
        <v>-</v>
      </c>
      <c r="V121" s="147"/>
      <c r="W121" s="147"/>
      <c r="X121" s="471"/>
      <c r="Y121" s="472"/>
      <c r="Z121" s="352"/>
      <c r="AA121" s="520"/>
      <c r="AB121" s="163"/>
      <c r="AC121" s="148"/>
      <c r="AD121" s="145"/>
      <c r="AE121" s="348" t="s">
        <v>280</v>
      </c>
      <c r="AF121" s="354" t="s">
        <v>79</v>
      </c>
    </row>
    <row r="122" spans="2:32">
      <c r="B122" s="514" t="str">
        <f>IF(AND(Validator!J616=TRUE,Validator!J116=TRUE,Validator!J366,Validator!J366=TRUE,Validator!J866=TRUE,Validator!J1116=TRUE,Validator!J1366=TRUE),"Valid","Invalid")</f>
        <v>Valid</v>
      </c>
      <c r="C122" s="144"/>
      <c r="D122" s="364"/>
      <c r="E122" s="145"/>
      <c r="F122" s="580"/>
      <c r="G122" s="309"/>
      <c r="H122" s="580"/>
      <c r="I122" s="296"/>
      <c r="J122" s="376"/>
      <c r="K122" s="146"/>
      <c r="L122" s="539"/>
      <c r="M122" s="469"/>
      <c r="N122" s="373"/>
      <c r="O122" s="348" t="s">
        <v>280</v>
      </c>
      <c r="P122" s="349" t="s">
        <v>79</v>
      </c>
      <c r="Q122" s="516"/>
      <c r="R122" s="467"/>
      <c r="S122" s="517"/>
      <c r="T122" s="517"/>
      <c r="U122" s="171" t="str">
        <f>IF(ISERROR(VLOOKUP($T122, 'Reference data'!$J$2:$K$139, 2, FALSE)),"-",VLOOKUP($T122, 'Reference data'!$J$2:$K$139, 2, FALSE))</f>
        <v>-</v>
      </c>
      <c r="V122" s="147"/>
      <c r="W122" s="147"/>
      <c r="X122" s="471"/>
      <c r="Y122" s="472"/>
      <c r="Z122" s="352"/>
      <c r="AA122" s="520"/>
      <c r="AB122" s="163"/>
      <c r="AC122" s="148"/>
      <c r="AD122" s="145"/>
      <c r="AE122" s="348" t="s">
        <v>280</v>
      </c>
      <c r="AF122" s="354" t="s">
        <v>79</v>
      </c>
    </row>
    <row r="123" spans="2:32">
      <c r="B123" s="514" t="str">
        <f>IF(AND(Validator!J617=TRUE,Validator!J117=TRUE,Validator!J367,Validator!J367=TRUE,Validator!J867=TRUE,Validator!J1117=TRUE,Validator!J1367=TRUE),"Valid","Invalid")</f>
        <v>Valid</v>
      </c>
      <c r="C123" s="144"/>
      <c r="D123" s="364"/>
      <c r="E123" s="145"/>
      <c r="F123" s="580"/>
      <c r="G123" s="309"/>
      <c r="H123" s="580"/>
      <c r="I123" s="296"/>
      <c r="J123" s="376"/>
      <c r="K123" s="146"/>
      <c r="L123" s="539"/>
      <c r="M123" s="469"/>
      <c r="N123" s="373"/>
      <c r="O123" s="348" t="s">
        <v>280</v>
      </c>
      <c r="P123" s="349" t="s">
        <v>79</v>
      </c>
      <c r="Q123" s="516"/>
      <c r="R123" s="467"/>
      <c r="S123" s="517"/>
      <c r="T123" s="517"/>
      <c r="U123" s="171" t="str">
        <f>IF(ISERROR(VLOOKUP($T123, 'Reference data'!$J$2:$K$139, 2, FALSE)),"-",VLOOKUP($T123, 'Reference data'!$J$2:$K$139, 2, FALSE))</f>
        <v>-</v>
      </c>
      <c r="V123" s="147"/>
      <c r="W123" s="147"/>
      <c r="X123" s="471"/>
      <c r="Y123" s="472"/>
      <c r="Z123" s="352"/>
      <c r="AA123" s="520"/>
      <c r="AB123" s="163"/>
      <c r="AC123" s="148"/>
      <c r="AD123" s="145"/>
      <c r="AE123" s="348" t="s">
        <v>280</v>
      </c>
      <c r="AF123" s="354" t="s">
        <v>79</v>
      </c>
    </row>
    <row r="124" spans="2:32">
      <c r="B124" s="514" t="str">
        <f>IF(AND(Validator!J618=TRUE,Validator!J118=TRUE,Validator!J368,Validator!J368=TRUE,Validator!J868=TRUE,Validator!J1118=TRUE,Validator!J1368=TRUE),"Valid","Invalid")</f>
        <v>Valid</v>
      </c>
      <c r="C124" s="144"/>
      <c r="D124" s="364"/>
      <c r="E124" s="145"/>
      <c r="F124" s="580"/>
      <c r="G124" s="309"/>
      <c r="H124" s="580"/>
      <c r="I124" s="296"/>
      <c r="J124" s="376"/>
      <c r="K124" s="146"/>
      <c r="L124" s="539"/>
      <c r="M124" s="469"/>
      <c r="N124" s="373"/>
      <c r="O124" s="348" t="s">
        <v>280</v>
      </c>
      <c r="P124" s="349" t="s">
        <v>79</v>
      </c>
      <c r="Q124" s="516"/>
      <c r="R124" s="467"/>
      <c r="S124" s="517"/>
      <c r="T124" s="517"/>
      <c r="U124" s="171" t="str">
        <f>IF(ISERROR(VLOOKUP($T124, 'Reference data'!$J$2:$K$139, 2, FALSE)),"-",VLOOKUP($T124, 'Reference data'!$J$2:$K$139, 2, FALSE))</f>
        <v>-</v>
      </c>
      <c r="V124" s="147"/>
      <c r="W124" s="147"/>
      <c r="X124" s="471"/>
      <c r="Y124" s="472"/>
      <c r="Z124" s="352"/>
      <c r="AA124" s="520"/>
      <c r="AB124" s="163"/>
      <c r="AC124" s="148"/>
      <c r="AD124" s="145"/>
      <c r="AE124" s="348" t="s">
        <v>280</v>
      </c>
      <c r="AF124" s="354" t="s">
        <v>79</v>
      </c>
    </row>
    <row r="125" spans="2:32">
      <c r="B125" s="514" t="str">
        <f>IF(AND(Validator!J619=TRUE,Validator!J119=TRUE,Validator!J369,Validator!J369=TRUE,Validator!J869=TRUE,Validator!J1119=TRUE,Validator!J1369=TRUE),"Valid","Invalid")</f>
        <v>Valid</v>
      </c>
      <c r="C125" s="144"/>
      <c r="D125" s="364"/>
      <c r="E125" s="145"/>
      <c r="F125" s="580"/>
      <c r="G125" s="309"/>
      <c r="H125" s="580"/>
      <c r="I125" s="296"/>
      <c r="J125" s="376"/>
      <c r="K125" s="146"/>
      <c r="L125" s="539"/>
      <c r="M125" s="469"/>
      <c r="N125" s="373"/>
      <c r="O125" s="348" t="s">
        <v>280</v>
      </c>
      <c r="P125" s="349" t="s">
        <v>79</v>
      </c>
      <c r="Q125" s="516"/>
      <c r="R125" s="467"/>
      <c r="S125" s="517"/>
      <c r="T125" s="517"/>
      <c r="U125" s="171" t="str">
        <f>IF(ISERROR(VLOOKUP($T125, 'Reference data'!$J$2:$K$139, 2, FALSE)),"-",VLOOKUP($T125, 'Reference data'!$J$2:$K$139, 2, FALSE))</f>
        <v>-</v>
      </c>
      <c r="V125" s="147"/>
      <c r="W125" s="147"/>
      <c r="X125" s="471"/>
      <c r="Y125" s="472"/>
      <c r="Z125" s="352"/>
      <c r="AA125" s="520"/>
      <c r="AB125" s="163"/>
      <c r="AC125" s="148"/>
      <c r="AD125" s="145"/>
      <c r="AE125" s="348" t="s">
        <v>280</v>
      </c>
      <c r="AF125" s="354" t="s">
        <v>79</v>
      </c>
    </row>
    <row r="126" spans="2:32">
      <c r="B126" s="514" t="str">
        <f>IF(AND(Validator!J620=TRUE,Validator!J120=TRUE,Validator!J370,Validator!J370=TRUE,Validator!J870=TRUE,Validator!J1120=TRUE,Validator!J1370=TRUE),"Valid","Invalid")</f>
        <v>Valid</v>
      </c>
      <c r="C126" s="144"/>
      <c r="D126" s="364"/>
      <c r="E126" s="145"/>
      <c r="F126" s="580"/>
      <c r="G126" s="309"/>
      <c r="H126" s="580"/>
      <c r="I126" s="296"/>
      <c r="J126" s="376"/>
      <c r="K126" s="146"/>
      <c r="L126" s="539"/>
      <c r="M126" s="469"/>
      <c r="N126" s="373"/>
      <c r="O126" s="348" t="s">
        <v>280</v>
      </c>
      <c r="P126" s="349" t="s">
        <v>79</v>
      </c>
      <c r="Q126" s="516"/>
      <c r="R126" s="467"/>
      <c r="S126" s="517"/>
      <c r="T126" s="517"/>
      <c r="U126" s="171" t="str">
        <f>IF(ISERROR(VLOOKUP($T126, 'Reference data'!$J$2:$K$139, 2, FALSE)),"-",VLOOKUP($T126, 'Reference data'!$J$2:$K$139, 2, FALSE))</f>
        <v>-</v>
      </c>
      <c r="V126" s="147"/>
      <c r="W126" s="147"/>
      <c r="X126" s="471"/>
      <c r="Y126" s="472"/>
      <c r="Z126" s="352"/>
      <c r="AA126" s="520"/>
      <c r="AB126" s="163"/>
      <c r="AC126" s="148"/>
      <c r="AD126" s="145"/>
      <c r="AE126" s="348" t="s">
        <v>280</v>
      </c>
      <c r="AF126" s="354" t="s">
        <v>79</v>
      </c>
    </row>
    <row r="127" spans="2:32">
      <c r="B127" s="514" t="str">
        <f>IF(AND(Validator!J621=TRUE,Validator!J121=TRUE,Validator!J371,Validator!J371=TRUE,Validator!J871=TRUE,Validator!J1121=TRUE,Validator!J1371=TRUE),"Valid","Invalid")</f>
        <v>Valid</v>
      </c>
      <c r="C127" s="144"/>
      <c r="D127" s="364"/>
      <c r="E127" s="145"/>
      <c r="F127" s="580"/>
      <c r="G127" s="309"/>
      <c r="H127" s="580"/>
      <c r="I127" s="296"/>
      <c r="J127" s="376"/>
      <c r="K127" s="146"/>
      <c r="L127" s="539"/>
      <c r="M127" s="469"/>
      <c r="N127" s="373"/>
      <c r="O127" s="348" t="s">
        <v>280</v>
      </c>
      <c r="P127" s="349" t="s">
        <v>79</v>
      </c>
      <c r="Q127" s="516"/>
      <c r="R127" s="467"/>
      <c r="S127" s="517"/>
      <c r="T127" s="517"/>
      <c r="U127" s="171" t="str">
        <f>IF(ISERROR(VLOOKUP($T127, 'Reference data'!$J$2:$K$139, 2, FALSE)),"-",VLOOKUP($T127, 'Reference data'!$J$2:$K$139, 2, FALSE))</f>
        <v>-</v>
      </c>
      <c r="V127" s="147"/>
      <c r="W127" s="147"/>
      <c r="X127" s="471"/>
      <c r="Y127" s="472"/>
      <c r="Z127" s="352"/>
      <c r="AA127" s="520"/>
      <c r="AB127" s="163"/>
      <c r="AC127" s="148"/>
      <c r="AD127" s="145"/>
      <c r="AE127" s="348" t="s">
        <v>280</v>
      </c>
      <c r="AF127" s="354" t="s">
        <v>79</v>
      </c>
    </row>
    <row r="128" spans="2:32">
      <c r="B128" s="514" t="str">
        <f>IF(AND(Validator!J622=TRUE,Validator!J122=TRUE,Validator!J372,Validator!J372=TRUE,Validator!J872=TRUE,Validator!J1122=TRUE,Validator!J1372=TRUE),"Valid","Invalid")</f>
        <v>Valid</v>
      </c>
      <c r="C128" s="144"/>
      <c r="D128" s="364"/>
      <c r="E128" s="145"/>
      <c r="F128" s="580"/>
      <c r="G128" s="309"/>
      <c r="H128" s="580"/>
      <c r="I128" s="296"/>
      <c r="J128" s="376"/>
      <c r="K128" s="146"/>
      <c r="L128" s="539"/>
      <c r="M128" s="469"/>
      <c r="N128" s="373"/>
      <c r="O128" s="348" t="s">
        <v>280</v>
      </c>
      <c r="P128" s="349" t="s">
        <v>79</v>
      </c>
      <c r="Q128" s="516"/>
      <c r="R128" s="467"/>
      <c r="S128" s="517"/>
      <c r="T128" s="517"/>
      <c r="U128" s="171" t="str">
        <f>IF(ISERROR(VLOOKUP($T128, 'Reference data'!$J$2:$K$139, 2, FALSE)),"-",VLOOKUP($T128, 'Reference data'!$J$2:$K$139, 2, FALSE))</f>
        <v>-</v>
      </c>
      <c r="V128" s="147"/>
      <c r="W128" s="147"/>
      <c r="X128" s="471"/>
      <c r="Y128" s="472"/>
      <c r="Z128" s="352"/>
      <c r="AA128" s="520"/>
      <c r="AB128" s="163"/>
      <c r="AC128" s="148"/>
      <c r="AD128" s="145"/>
      <c r="AE128" s="348" t="s">
        <v>280</v>
      </c>
      <c r="AF128" s="354" t="s">
        <v>79</v>
      </c>
    </row>
    <row r="129" spans="2:32">
      <c r="B129" s="514" t="str">
        <f>IF(AND(Validator!J623=TRUE,Validator!J123=TRUE,Validator!J373,Validator!J373=TRUE,Validator!J873=TRUE,Validator!J1123=TRUE,Validator!J1373=TRUE),"Valid","Invalid")</f>
        <v>Valid</v>
      </c>
      <c r="C129" s="144"/>
      <c r="D129" s="364"/>
      <c r="E129" s="145"/>
      <c r="F129" s="580"/>
      <c r="G129" s="309"/>
      <c r="H129" s="580"/>
      <c r="I129" s="296"/>
      <c r="J129" s="376"/>
      <c r="K129" s="146"/>
      <c r="L129" s="539"/>
      <c r="M129" s="469"/>
      <c r="N129" s="373"/>
      <c r="O129" s="348" t="s">
        <v>280</v>
      </c>
      <c r="P129" s="349" t="s">
        <v>79</v>
      </c>
      <c r="Q129" s="516"/>
      <c r="R129" s="467"/>
      <c r="S129" s="517"/>
      <c r="T129" s="517"/>
      <c r="U129" s="171" t="str">
        <f>IF(ISERROR(VLOOKUP($T129, 'Reference data'!$J$2:$K$139, 2, FALSE)),"-",VLOOKUP($T129, 'Reference data'!$J$2:$K$139, 2, FALSE))</f>
        <v>-</v>
      </c>
      <c r="V129" s="147"/>
      <c r="W129" s="147"/>
      <c r="X129" s="471"/>
      <c r="Y129" s="472"/>
      <c r="Z129" s="352"/>
      <c r="AA129" s="520"/>
      <c r="AB129" s="163"/>
      <c r="AC129" s="148"/>
      <c r="AD129" s="145"/>
      <c r="AE129" s="348" t="s">
        <v>280</v>
      </c>
      <c r="AF129" s="354" t="s">
        <v>79</v>
      </c>
    </row>
    <row r="130" spans="2:32">
      <c r="B130" s="514" t="str">
        <f>IF(AND(Validator!J624=TRUE,Validator!J124=TRUE,Validator!J374,Validator!J374=TRUE,Validator!J874=TRUE,Validator!J1124=TRUE,Validator!J1374=TRUE),"Valid","Invalid")</f>
        <v>Valid</v>
      </c>
      <c r="C130" s="144"/>
      <c r="D130" s="364"/>
      <c r="E130" s="145"/>
      <c r="F130" s="580"/>
      <c r="G130" s="309"/>
      <c r="H130" s="580"/>
      <c r="I130" s="296"/>
      <c r="J130" s="376"/>
      <c r="K130" s="146"/>
      <c r="L130" s="539"/>
      <c r="M130" s="469"/>
      <c r="N130" s="373"/>
      <c r="O130" s="348" t="s">
        <v>280</v>
      </c>
      <c r="P130" s="349" t="s">
        <v>79</v>
      </c>
      <c r="Q130" s="516"/>
      <c r="R130" s="467"/>
      <c r="S130" s="517"/>
      <c r="T130" s="517"/>
      <c r="U130" s="171" t="str">
        <f>IF(ISERROR(VLOOKUP($T130, 'Reference data'!$J$2:$K$139, 2, FALSE)),"-",VLOOKUP($T130, 'Reference data'!$J$2:$K$139, 2, FALSE))</f>
        <v>-</v>
      </c>
      <c r="V130" s="147"/>
      <c r="W130" s="147"/>
      <c r="X130" s="471"/>
      <c r="Y130" s="472"/>
      <c r="Z130" s="352"/>
      <c r="AA130" s="520"/>
      <c r="AB130" s="163"/>
      <c r="AC130" s="148"/>
      <c r="AD130" s="145"/>
      <c r="AE130" s="348" t="s">
        <v>280</v>
      </c>
      <c r="AF130" s="354" t="s">
        <v>79</v>
      </c>
    </row>
    <row r="131" spans="2:32">
      <c r="B131" s="514" t="str">
        <f>IF(AND(Validator!J625=TRUE,Validator!J125=TRUE,Validator!J375,Validator!J375=TRUE,Validator!J875=TRUE,Validator!J1125=TRUE,Validator!J1375=TRUE),"Valid","Invalid")</f>
        <v>Valid</v>
      </c>
      <c r="C131" s="144"/>
      <c r="D131" s="364"/>
      <c r="E131" s="145"/>
      <c r="F131" s="580"/>
      <c r="G131" s="309"/>
      <c r="H131" s="580"/>
      <c r="I131" s="296"/>
      <c r="J131" s="376"/>
      <c r="K131" s="146"/>
      <c r="L131" s="539"/>
      <c r="M131" s="469"/>
      <c r="N131" s="373"/>
      <c r="O131" s="348" t="s">
        <v>280</v>
      </c>
      <c r="P131" s="349" t="s">
        <v>79</v>
      </c>
      <c r="Q131" s="516"/>
      <c r="R131" s="467"/>
      <c r="S131" s="517"/>
      <c r="T131" s="517"/>
      <c r="U131" s="171" t="str">
        <f>IF(ISERROR(VLOOKUP($T131, 'Reference data'!$J$2:$K$139, 2, FALSE)),"-",VLOOKUP($T131, 'Reference data'!$J$2:$K$139, 2, FALSE))</f>
        <v>-</v>
      </c>
      <c r="V131" s="147"/>
      <c r="W131" s="147"/>
      <c r="X131" s="471"/>
      <c r="Y131" s="472"/>
      <c r="Z131" s="352"/>
      <c r="AA131" s="520"/>
      <c r="AB131" s="163"/>
      <c r="AC131" s="148"/>
      <c r="AD131" s="145"/>
      <c r="AE131" s="348" t="s">
        <v>280</v>
      </c>
      <c r="AF131" s="354" t="s">
        <v>79</v>
      </c>
    </row>
    <row r="132" spans="2:32">
      <c r="B132" s="514" t="str">
        <f>IF(AND(Validator!J626=TRUE,Validator!J126=TRUE,Validator!J376,Validator!J376=TRUE,Validator!J876=TRUE,Validator!J1126=TRUE,Validator!J1376=TRUE),"Valid","Invalid")</f>
        <v>Valid</v>
      </c>
      <c r="C132" s="144"/>
      <c r="D132" s="364"/>
      <c r="E132" s="145"/>
      <c r="F132" s="580"/>
      <c r="G132" s="309"/>
      <c r="H132" s="580"/>
      <c r="I132" s="296"/>
      <c r="J132" s="376"/>
      <c r="K132" s="146"/>
      <c r="L132" s="539"/>
      <c r="M132" s="469"/>
      <c r="N132" s="373"/>
      <c r="O132" s="348" t="s">
        <v>280</v>
      </c>
      <c r="P132" s="349" t="s">
        <v>79</v>
      </c>
      <c r="Q132" s="516"/>
      <c r="R132" s="467"/>
      <c r="S132" s="517"/>
      <c r="T132" s="517"/>
      <c r="U132" s="171" t="str">
        <f>IF(ISERROR(VLOOKUP($T132, 'Reference data'!$J$2:$K$139, 2, FALSE)),"-",VLOOKUP($T132, 'Reference data'!$J$2:$K$139, 2, FALSE))</f>
        <v>-</v>
      </c>
      <c r="V132" s="147"/>
      <c r="W132" s="147"/>
      <c r="X132" s="471"/>
      <c r="Y132" s="472"/>
      <c r="Z132" s="352"/>
      <c r="AA132" s="520"/>
      <c r="AB132" s="163"/>
      <c r="AC132" s="148"/>
      <c r="AD132" s="145"/>
      <c r="AE132" s="348" t="s">
        <v>280</v>
      </c>
      <c r="AF132" s="354" t="s">
        <v>79</v>
      </c>
    </row>
    <row r="133" spans="2:32">
      <c r="B133" s="514" t="str">
        <f>IF(AND(Validator!J627=TRUE,Validator!J127=TRUE,Validator!J377,Validator!J377=TRUE,Validator!J877=TRUE,Validator!J1127=TRUE,Validator!J1377=TRUE),"Valid","Invalid")</f>
        <v>Valid</v>
      </c>
      <c r="C133" s="144"/>
      <c r="D133" s="364"/>
      <c r="E133" s="145"/>
      <c r="F133" s="580"/>
      <c r="G133" s="309"/>
      <c r="H133" s="580"/>
      <c r="I133" s="296"/>
      <c r="J133" s="376"/>
      <c r="K133" s="146"/>
      <c r="L133" s="539"/>
      <c r="M133" s="469"/>
      <c r="N133" s="373"/>
      <c r="O133" s="348" t="s">
        <v>280</v>
      </c>
      <c r="P133" s="349" t="s">
        <v>79</v>
      </c>
      <c r="Q133" s="516"/>
      <c r="R133" s="467"/>
      <c r="S133" s="517"/>
      <c r="T133" s="517"/>
      <c r="U133" s="171" t="str">
        <f>IF(ISERROR(VLOOKUP($T133, 'Reference data'!$J$2:$K$139, 2, FALSE)),"-",VLOOKUP($T133, 'Reference data'!$J$2:$K$139, 2, FALSE))</f>
        <v>-</v>
      </c>
      <c r="V133" s="147"/>
      <c r="W133" s="147"/>
      <c r="X133" s="471"/>
      <c r="Y133" s="472"/>
      <c r="Z133" s="352"/>
      <c r="AA133" s="520"/>
      <c r="AB133" s="163"/>
      <c r="AC133" s="148"/>
      <c r="AD133" s="145"/>
      <c r="AE133" s="348" t="s">
        <v>280</v>
      </c>
      <c r="AF133" s="354" t="s">
        <v>79</v>
      </c>
    </row>
    <row r="134" spans="2:32">
      <c r="B134" s="514" t="str">
        <f>IF(AND(Validator!J628=TRUE,Validator!J128=TRUE,Validator!J378,Validator!J378=TRUE,Validator!J878=TRUE,Validator!J1128=TRUE,Validator!J1378=TRUE),"Valid","Invalid")</f>
        <v>Valid</v>
      </c>
      <c r="C134" s="144"/>
      <c r="D134" s="364"/>
      <c r="E134" s="145"/>
      <c r="F134" s="580"/>
      <c r="G134" s="309"/>
      <c r="H134" s="580"/>
      <c r="I134" s="296"/>
      <c r="J134" s="376"/>
      <c r="K134" s="146"/>
      <c r="L134" s="539"/>
      <c r="M134" s="469"/>
      <c r="N134" s="373"/>
      <c r="O134" s="348" t="s">
        <v>280</v>
      </c>
      <c r="P134" s="349" t="s">
        <v>79</v>
      </c>
      <c r="Q134" s="516"/>
      <c r="R134" s="467"/>
      <c r="S134" s="517"/>
      <c r="T134" s="517"/>
      <c r="U134" s="171" t="str">
        <f>IF(ISERROR(VLOOKUP($T134, 'Reference data'!$J$2:$K$139, 2, FALSE)),"-",VLOOKUP($T134, 'Reference data'!$J$2:$K$139, 2, FALSE))</f>
        <v>-</v>
      </c>
      <c r="V134" s="147"/>
      <c r="W134" s="147"/>
      <c r="X134" s="471"/>
      <c r="Y134" s="472"/>
      <c r="Z134" s="352"/>
      <c r="AA134" s="520"/>
      <c r="AB134" s="163"/>
      <c r="AC134" s="148"/>
      <c r="AD134" s="145"/>
      <c r="AE134" s="348" t="s">
        <v>280</v>
      </c>
      <c r="AF134" s="354" t="s">
        <v>79</v>
      </c>
    </row>
    <row r="135" spans="2:32">
      <c r="B135" s="514" t="str">
        <f>IF(AND(Validator!J629=TRUE,Validator!J129=TRUE,Validator!J379,Validator!J379=TRUE,Validator!J879=TRUE,Validator!J1129=TRUE,Validator!J1379=TRUE),"Valid","Invalid")</f>
        <v>Valid</v>
      </c>
      <c r="C135" s="144"/>
      <c r="D135" s="364"/>
      <c r="E135" s="145"/>
      <c r="F135" s="580"/>
      <c r="G135" s="309"/>
      <c r="H135" s="580"/>
      <c r="I135" s="296"/>
      <c r="J135" s="376"/>
      <c r="K135" s="146"/>
      <c r="L135" s="539"/>
      <c r="M135" s="469"/>
      <c r="N135" s="373"/>
      <c r="O135" s="348" t="s">
        <v>280</v>
      </c>
      <c r="P135" s="349" t="s">
        <v>79</v>
      </c>
      <c r="Q135" s="516"/>
      <c r="R135" s="467"/>
      <c r="S135" s="517"/>
      <c r="T135" s="517"/>
      <c r="U135" s="171" t="str">
        <f>IF(ISERROR(VLOOKUP($T135, 'Reference data'!$J$2:$K$139, 2, FALSE)),"-",VLOOKUP($T135, 'Reference data'!$J$2:$K$139, 2, FALSE))</f>
        <v>-</v>
      </c>
      <c r="V135" s="147"/>
      <c r="W135" s="147"/>
      <c r="X135" s="471"/>
      <c r="Y135" s="472"/>
      <c r="Z135" s="352"/>
      <c r="AA135" s="520"/>
      <c r="AB135" s="163"/>
      <c r="AC135" s="148"/>
      <c r="AD135" s="145"/>
      <c r="AE135" s="348" t="s">
        <v>280</v>
      </c>
      <c r="AF135" s="354" t="s">
        <v>79</v>
      </c>
    </row>
    <row r="136" spans="2:32">
      <c r="B136" s="514" t="str">
        <f>IF(AND(Validator!J630=TRUE,Validator!J130=TRUE,Validator!J380,Validator!J380=TRUE,Validator!J880=TRUE,Validator!J1130=TRUE,Validator!J1380=TRUE),"Valid","Invalid")</f>
        <v>Valid</v>
      </c>
      <c r="C136" s="144"/>
      <c r="D136" s="364"/>
      <c r="E136" s="145"/>
      <c r="F136" s="580"/>
      <c r="G136" s="309"/>
      <c r="H136" s="580"/>
      <c r="I136" s="296"/>
      <c r="J136" s="376"/>
      <c r="K136" s="146"/>
      <c r="L136" s="539"/>
      <c r="M136" s="469"/>
      <c r="N136" s="373"/>
      <c r="O136" s="348" t="s">
        <v>280</v>
      </c>
      <c r="P136" s="349" t="s">
        <v>79</v>
      </c>
      <c r="Q136" s="516"/>
      <c r="R136" s="467"/>
      <c r="S136" s="517"/>
      <c r="T136" s="517"/>
      <c r="U136" s="171" t="str">
        <f>IF(ISERROR(VLOOKUP($T136, 'Reference data'!$J$2:$K$139, 2, FALSE)),"-",VLOOKUP($T136, 'Reference data'!$J$2:$K$139, 2, FALSE))</f>
        <v>-</v>
      </c>
      <c r="V136" s="147"/>
      <c r="W136" s="147"/>
      <c r="X136" s="471"/>
      <c r="Y136" s="472"/>
      <c r="Z136" s="352"/>
      <c r="AA136" s="520"/>
      <c r="AB136" s="163"/>
      <c r="AC136" s="148"/>
      <c r="AD136" s="145"/>
      <c r="AE136" s="348" t="s">
        <v>280</v>
      </c>
      <c r="AF136" s="354" t="s">
        <v>79</v>
      </c>
    </row>
    <row r="137" spans="2:32">
      <c r="B137" s="514" t="str">
        <f>IF(AND(Validator!J631=TRUE,Validator!J131=TRUE,Validator!J381,Validator!J381=TRUE,Validator!J881=TRUE,Validator!J1131=TRUE,Validator!J1381=TRUE),"Valid","Invalid")</f>
        <v>Valid</v>
      </c>
      <c r="C137" s="144"/>
      <c r="D137" s="364"/>
      <c r="E137" s="145"/>
      <c r="F137" s="580"/>
      <c r="G137" s="309"/>
      <c r="H137" s="580"/>
      <c r="I137" s="296"/>
      <c r="J137" s="376"/>
      <c r="K137" s="146"/>
      <c r="L137" s="539"/>
      <c r="M137" s="469"/>
      <c r="N137" s="373"/>
      <c r="O137" s="348" t="s">
        <v>280</v>
      </c>
      <c r="P137" s="349" t="s">
        <v>79</v>
      </c>
      <c r="Q137" s="516"/>
      <c r="R137" s="467"/>
      <c r="S137" s="517"/>
      <c r="T137" s="517"/>
      <c r="U137" s="171" t="str">
        <f>IF(ISERROR(VLOOKUP($T137, 'Reference data'!$J$2:$K$139, 2, FALSE)),"-",VLOOKUP($T137, 'Reference data'!$J$2:$K$139, 2, FALSE))</f>
        <v>-</v>
      </c>
      <c r="V137" s="147"/>
      <c r="W137" s="147"/>
      <c r="X137" s="471"/>
      <c r="Y137" s="472"/>
      <c r="Z137" s="352"/>
      <c r="AA137" s="520"/>
      <c r="AB137" s="163"/>
      <c r="AC137" s="148"/>
      <c r="AD137" s="145"/>
      <c r="AE137" s="348" t="s">
        <v>280</v>
      </c>
      <c r="AF137" s="354" t="s">
        <v>79</v>
      </c>
    </row>
    <row r="138" spans="2:32">
      <c r="B138" s="514" t="str">
        <f>IF(AND(Validator!J632=TRUE,Validator!J132=TRUE,Validator!J382,Validator!J382=TRUE,Validator!J882=TRUE,Validator!J1132=TRUE,Validator!J1382=TRUE),"Valid","Invalid")</f>
        <v>Valid</v>
      </c>
      <c r="C138" s="144"/>
      <c r="D138" s="364"/>
      <c r="E138" s="145"/>
      <c r="F138" s="580"/>
      <c r="G138" s="309"/>
      <c r="H138" s="580"/>
      <c r="I138" s="296"/>
      <c r="J138" s="376"/>
      <c r="K138" s="146"/>
      <c r="L138" s="539"/>
      <c r="M138" s="469"/>
      <c r="N138" s="373"/>
      <c r="O138" s="348" t="s">
        <v>280</v>
      </c>
      <c r="P138" s="349" t="s">
        <v>79</v>
      </c>
      <c r="Q138" s="516"/>
      <c r="R138" s="467"/>
      <c r="S138" s="517"/>
      <c r="T138" s="517"/>
      <c r="U138" s="171" t="str">
        <f>IF(ISERROR(VLOOKUP($T138, 'Reference data'!$J$2:$K$139, 2, FALSE)),"-",VLOOKUP($T138, 'Reference data'!$J$2:$K$139, 2, FALSE))</f>
        <v>-</v>
      </c>
      <c r="V138" s="147"/>
      <c r="W138" s="147"/>
      <c r="X138" s="471"/>
      <c r="Y138" s="472"/>
      <c r="Z138" s="352"/>
      <c r="AA138" s="520"/>
      <c r="AB138" s="163"/>
      <c r="AC138" s="148"/>
      <c r="AD138" s="145"/>
      <c r="AE138" s="348" t="s">
        <v>280</v>
      </c>
      <c r="AF138" s="354" t="s">
        <v>79</v>
      </c>
    </row>
    <row r="139" spans="2:32">
      <c r="B139" s="514" t="str">
        <f>IF(AND(Validator!J633=TRUE,Validator!J133=TRUE,Validator!J383,Validator!J383=TRUE,Validator!J883=TRUE,Validator!J1133=TRUE,Validator!J1383=TRUE),"Valid","Invalid")</f>
        <v>Valid</v>
      </c>
      <c r="C139" s="144"/>
      <c r="D139" s="364"/>
      <c r="E139" s="145"/>
      <c r="F139" s="580"/>
      <c r="G139" s="309"/>
      <c r="H139" s="580"/>
      <c r="I139" s="296"/>
      <c r="J139" s="376"/>
      <c r="K139" s="146"/>
      <c r="L139" s="539"/>
      <c r="M139" s="469"/>
      <c r="N139" s="373"/>
      <c r="O139" s="348" t="s">
        <v>280</v>
      </c>
      <c r="P139" s="349" t="s">
        <v>79</v>
      </c>
      <c r="Q139" s="516"/>
      <c r="R139" s="467"/>
      <c r="S139" s="517"/>
      <c r="T139" s="517"/>
      <c r="U139" s="171" t="str">
        <f>IF(ISERROR(VLOOKUP($T139, 'Reference data'!$J$2:$K$139, 2, FALSE)),"-",VLOOKUP($T139, 'Reference data'!$J$2:$K$139, 2, FALSE))</f>
        <v>-</v>
      </c>
      <c r="V139" s="147"/>
      <c r="W139" s="147"/>
      <c r="X139" s="471"/>
      <c r="Y139" s="472"/>
      <c r="Z139" s="352"/>
      <c r="AA139" s="520"/>
      <c r="AB139" s="163"/>
      <c r="AC139" s="148"/>
      <c r="AD139" s="145"/>
      <c r="AE139" s="348" t="s">
        <v>280</v>
      </c>
      <c r="AF139" s="354" t="s">
        <v>79</v>
      </c>
    </row>
    <row r="140" spans="2:32">
      <c r="B140" s="514" t="str">
        <f>IF(AND(Validator!J634=TRUE,Validator!J134=TRUE,Validator!J384,Validator!J384=TRUE,Validator!J884=TRUE,Validator!J1134=TRUE,Validator!J1384=TRUE),"Valid","Invalid")</f>
        <v>Valid</v>
      </c>
      <c r="C140" s="144"/>
      <c r="D140" s="364"/>
      <c r="E140" s="145"/>
      <c r="F140" s="580"/>
      <c r="G140" s="309"/>
      <c r="H140" s="580"/>
      <c r="I140" s="296"/>
      <c r="J140" s="376"/>
      <c r="K140" s="146"/>
      <c r="L140" s="539"/>
      <c r="M140" s="469"/>
      <c r="N140" s="373"/>
      <c r="O140" s="348" t="s">
        <v>280</v>
      </c>
      <c r="P140" s="349" t="s">
        <v>79</v>
      </c>
      <c r="Q140" s="516"/>
      <c r="R140" s="467"/>
      <c r="S140" s="517"/>
      <c r="T140" s="517"/>
      <c r="U140" s="171" t="str">
        <f>IF(ISERROR(VLOOKUP($T140, 'Reference data'!$J$2:$K$139, 2, FALSE)),"-",VLOOKUP($T140, 'Reference data'!$J$2:$K$139, 2, FALSE))</f>
        <v>-</v>
      </c>
      <c r="V140" s="147"/>
      <c r="W140" s="147"/>
      <c r="X140" s="471"/>
      <c r="Y140" s="472"/>
      <c r="Z140" s="352"/>
      <c r="AA140" s="520"/>
      <c r="AB140" s="163"/>
      <c r="AC140" s="148"/>
      <c r="AD140" s="145"/>
      <c r="AE140" s="348" t="s">
        <v>280</v>
      </c>
      <c r="AF140" s="354" t="s">
        <v>79</v>
      </c>
    </row>
    <row r="141" spans="2:32">
      <c r="B141" s="514" t="str">
        <f>IF(AND(Validator!J635=TRUE,Validator!J135=TRUE,Validator!J385,Validator!J385=TRUE,Validator!J885=TRUE,Validator!J1135=TRUE,Validator!J1385=TRUE),"Valid","Invalid")</f>
        <v>Valid</v>
      </c>
      <c r="C141" s="144"/>
      <c r="D141" s="364"/>
      <c r="E141" s="145"/>
      <c r="F141" s="580"/>
      <c r="G141" s="309"/>
      <c r="H141" s="580"/>
      <c r="I141" s="296"/>
      <c r="J141" s="376"/>
      <c r="K141" s="146"/>
      <c r="L141" s="539"/>
      <c r="M141" s="469"/>
      <c r="N141" s="373"/>
      <c r="O141" s="348" t="s">
        <v>280</v>
      </c>
      <c r="P141" s="349" t="s">
        <v>79</v>
      </c>
      <c r="Q141" s="516"/>
      <c r="R141" s="467"/>
      <c r="S141" s="517"/>
      <c r="T141" s="517"/>
      <c r="U141" s="171" t="str">
        <f>IF(ISERROR(VLOOKUP($T141, 'Reference data'!$J$2:$K$139, 2, FALSE)),"-",VLOOKUP($T141, 'Reference data'!$J$2:$K$139, 2, FALSE))</f>
        <v>-</v>
      </c>
      <c r="V141" s="147"/>
      <c r="W141" s="147"/>
      <c r="X141" s="471"/>
      <c r="Y141" s="472"/>
      <c r="Z141" s="352"/>
      <c r="AA141" s="520"/>
      <c r="AB141" s="163"/>
      <c r="AC141" s="148"/>
      <c r="AD141" s="145"/>
      <c r="AE141" s="348" t="s">
        <v>280</v>
      </c>
      <c r="AF141" s="354" t="s">
        <v>79</v>
      </c>
    </row>
    <row r="142" spans="2:32">
      <c r="B142" s="514" t="str">
        <f>IF(AND(Validator!J636=TRUE,Validator!J136=TRUE,Validator!J386,Validator!J386=TRUE,Validator!J886=TRUE,Validator!J1136=TRUE,Validator!J1386=TRUE),"Valid","Invalid")</f>
        <v>Valid</v>
      </c>
      <c r="C142" s="144"/>
      <c r="D142" s="364"/>
      <c r="E142" s="145"/>
      <c r="F142" s="580"/>
      <c r="G142" s="309"/>
      <c r="H142" s="580"/>
      <c r="I142" s="296"/>
      <c r="J142" s="376"/>
      <c r="K142" s="146"/>
      <c r="L142" s="539"/>
      <c r="M142" s="469"/>
      <c r="N142" s="373"/>
      <c r="O142" s="348" t="s">
        <v>280</v>
      </c>
      <c r="P142" s="349" t="s">
        <v>79</v>
      </c>
      <c r="Q142" s="516"/>
      <c r="R142" s="467"/>
      <c r="S142" s="517"/>
      <c r="T142" s="517"/>
      <c r="U142" s="171" t="str">
        <f>IF(ISERROR(VLOOKUP($T142, 'Reference data'!$J$2:$K$139, 2, FALSE)),"-",VLOOKUP($T142, 'Reference data'!$J$2:$K$139, 2, FALSE))</f>
        <v>-</v>
      </c>
      <c r="V142" s="147"/>
      <c r="W142" s="147"/>
      <c r="X142" s="471"/>
      <c r="Y142" s="472"/>
      <c r="Z142" s="352"/>
      <c r="AA142" s="520"/>
      <c r="AB142" s="163"/>
      <c r="AC142" s="148"/>
      <c r="AD142" s="145"/>
      <c r="AE142" s="348" t="s">
        <v>280</v>
      </c>
      <c r="AF142" s="354" t="s">
        <v>79</v>
      </c>
    </row>
    <row r="143" spans="2:32">
      <c r="B143" s="514" t="str">
        <f>IF(AND(Validator!J637=TRUE,Validator!J137=TRUE,Validator!J387,Validator!J387=TRUE,Validator!J887=TRUE,Validator!J1137=TRUE,Validator!J1387=TRUE),"Valid","Invalid")</f>
        <v>Valid</v>
      </c>
      <c r="C143" s="144"/>
      <c r="D143" s="364"/>
      <c r="E143" s="145"/>
      <c r="F143" s="580"/>
      <c r="G143" s="309"/>
      <c r="H143" s="580"/>
      <c r="I143" s="296"/>
      <c r="J143" s="376"/>
      <c r="K143" s="146"/>
      <c r="L143" s="539"/>
      <c r="M143" s="469"/>
      <c r="N143" s="373"/>
      <c r="O143" s="348" t="s">
        <v>280</v>
      </c>
      <c r="P143" s="349" t="s">
        <v>79</v>
      </c>
      <c r="Q143" s="516"/>
      <c r="R143" s="467"/>
      <c r="S143" s="517"/>
      <c r="T143" s="517"/>
      <c r="U143" s="171" t="str">
        <f>IF(ISERROR(VLOOKUP($T143, 'Reference data'!$J$2:$K$139, 2, FALSE)),"-",VLOOKUP($T143, 'Reference data'!$J$2:$K$139, 2, FALSE))</f>
        <v>-</v>
      </c>
      <c r="V143" s="147"/>
      <c r="W143" s="147"/>
      <c r="X143" s="471"/>
      <c r="Y143" s="472"/>
      <c r="Z143" s="352"/>
      <c r="AA143" s="520"/>
      <c r="AB143" s="163"/>
      <c r="AC143" s="148"/>
      <c r="AD143" s="145"/>
      <c r="AE143" s="348" t="s">
        <v>280</v>
      </c>
      <c r="AF143" s="354" t="s">
        <v>79</v>
      </c>
    </row>
    <row r="144" spans="2:32">
      <c r="B144" s="514" t="str">
        <f>IF(AND(Validator!J638=TRUE,Validator!J138=TRUE,Validator!J388,Validator!J388=TRUE,Validator!J888=TRUE,Validator!J1138=TRUE,Validator!J1388=TRUE),"Valid","Invalid")</f>
        <v>Valid</v>
      </c>
      <c r="C144" s="144"/>
      <c r="D144" s="364"/>
      <c r="E144" s="145"/>
      <c r="F144" s="580"/>
      <c r="G144" s="309"/>
      <c r="H144" s="580"/>
      <c r="I144" s="296"/>
      <c r="J144" s="376"/>
      <c r="K144" s="146"/>
      <c r="L144" s="539"/>
      <c r="M144" s="469"/>
      <c r="N144" s="373"/>
      <c r="O144" s="348" t="s">
        <v>280</v>
      </c>
      <c r="P144" s="349" t="s">
        <v>79</v>
      </c>
      <c r="Q144" s="516"/>
      <c r="R144" s="467"/>
      <c r="S144" s="517"/>
      <c r="T144" s="517"/>
      <c r="U144" s="171" t="str">
        <f>IF(ISERROR(VLOOKUP($T144, 'Reference data'!$J$2:$K$139, 2, FALSE)),"-",VLOOKUP($T144, 'Reference data'!$J$2:$K$139, 2, FALSE))</f>
        <v>-</v>
      </c>
      <c r="V144" s="147"/>
      <c r="W144" s="147"/>
      <c r="X144" s="471"/>
      <c r="Y144" s="472"/>
      <c r="Z144" s="352"/>
      <c r="AA144" s="520"/>
      <c r="AB144" s="163"/>
      <c r="AC144" s="148"/>
      <c r="AD144" s="145"/>
      <c r="AE144" s="348" t="s">
        <v>280</v>
      </c>
      <c r="AF144" s="354" t="s">
        <v>79</v>
      </c>
    </row>
    <row r="145" spans="2:32">
      <c r="B145" s="514" t="str">
        <f>IF(AND(Validator!J639=TRUE,Validator!J139=TRUE,Validator!J389,Validator!J389=TRUE,Validator!J889=TRUE,Validator!J1139=TRUE,Validator!J1389=TRUE),"Valid","Invalid")</f>
        <v>Valid</v>
      </c>
      <c r="C145" s="144"/>
      <c r="D145" s="364"/>
      <c r="E145" s="145"/>
      <c r="F145" s="580"/>
      <c r="G145" s="309"/>
      <c r="H145" s="580"/>
      <c r="I145" s="296"/>
      <c r="J145" s="376"/>
      <c r="K145" s="146"/>
      <c r="L145" s="539"/>
      <c r="M145" s="469"/>
      <c r="N145" s="373"/>
      <c r="O145" s="348" t="s">
        <v>280</v>
      </c>
      <c r="P145" s="349" t="s">
        <v>79</v>
      </c>
      <c r="Q145" s="516"/>
      <c r="R145" s="467"/>
      <c r="S145" s="517"/>
      <c r="T145" s="517"/>
      <c r="U145" s="171" t="str">
        <f>IF(ISERROR(VLOOKUP($T145, 'Reference data'!$J$2:$K$139, 2, FALSE)),"-",VLOOKUP($T145, 'Reference data'!$J$2:$K$139, 2, FALSE))</f>
        <v>-</v>
      </c>
      <c r="V145" s="147"/>
      <c r="W145" s="147"/>
      <c r="X145" s="471"/>
      <c r="Y145" s="472"/>
      <c r="Z145" s="352"/>
      <c r="AA145" s="520"/>
      <c r="AB145" s="163"/>
      <c r="AC145" s="148"/>
      <c r="AD145" s="145"/>
      <c r="AE145" s="348" t="s">
        <v>280</v>
      </c>
      <c r="AF145" s="354" t="s">
        <v>79</v>
      </c>
    </row>
    <row r="146" spans="2:32">
      <c r="B146" s="514" t="str">
        <f>IF(AND(Validator!J640=TRUE,Validator!J140=TRUE,Validator!J390,Validator!J390=TRUE,Validator!J890=TRUE,Validator!J1140=TRUE,Validator!J1390=TRUE),"Valid","Invalid")</f>
        <v>Valid</v>
      </c>
      <c r="C146" s="144"/>
      <c r="D146" s="364"/>
      <c r="E146" s="145"/>
      <c r="F146" s="580"/>
      <c r="G146" s="309"/>
      <c r="H146" s="580"/>
      <c r="I146" s="296"/>
      <c r="J146" s="376"/>
      <c r="K146" s="146"/>
      <c r="L146" s="539"/>
      <c r="M146" s="469"/>
      <c r="N146" s="373"/>
      <c r="O146" s="348" t="s">
        <v>280</v>
      </c>
      <c r="P146" s="349" t="s">
        <v>79</v>
      </c>
      <c r="Q146" s="516"/>
      <c r="R146" s="467"/>
      <c r="S146" s="517"/>
      <c r="T146" s="517"/>
      <c r="U146" s="171" t="str">
        <f>IF(ISERROR(VLOOKUP($T146, 'Reference data'!$J$2:$K$139, 2, FALSE)),"-",VLOOKUP($T146, 'Reference data'!$J$2:$K$139, 2, FALSE))</f>
        <v>-</v>
      </c>
      <c r="V146" s="147"/>
      <c r="W146" s="147"/>
      <c r="X146" s="471"/>
      <c r="Y146" s="472"/>
      <c r="Z146" s="352"/>
      <c r="AA146" s="520"/>
      <c r="AB146" s="163"/>
      <c r="AC146" s="148"/>
      <c r="AD146" s="145"/>
      <c r="AE146" s="348" t="s">
        <v>280</v>
      </c>
      <c r="AF146" s="354" t="s">
        <v>79</v>
      </c>
    </row>
    <row r="147" spans="2:32">
      <c r="B147" s="514" t="str">
        <f>IF(AND(Validator!J641=TRUE,Validator!J141=TRUE,Validator!J391,Validator!J391=TRUE,Validator!J891=TRUE,Validator!J1141=TRUE,Validator!J1391=TRUE),"Valid","Invalid")</f>
        <v>Valid</v>
      </c>
      <c r="C147" s="144"/>
      <c r="D147" s="364"/>
      <c r="E147" s="145"/>
      <c r="F147" s="580"/>
      <c r="G147" s="309"/>
      <c r="H147" s="580"/>
      <c r="I147" s="296"/>
      <c r="J147" s="376"/>
      <c r="K147" s="146"/>
      <c r="L147" s="539"/>
      <c r="M147" s="469"/>
      <c r="N147" s="373"/>
      <c r="O147" s="348" t="s">
        <v>280</v>
      </c>
      <c r="P147" s="349" t="s">
        <v>79</v>
      </c>
      <c r="Q147" s="516"/>
      <c r="R147" s="467"/>
      <c r="S147" s="517"/>
      <c r="T147" s="517"/>
      <c r="U147" s="171" t="str">
        <f>IF(ISERROR(VLOOKUP($T147, 'Reference data'!$J$2:$K$139, 2, FALSE)),"-",VLOOKUP($T147, 'Reference data'!$J$2:$K$139, 2, FALSE))</f>
        <v>-</v>
      </c>
      <c r="V147" s="147"/>
      <c r="W147" s="147"/>
      <c r="X147" s="471"/>
      <c r="Y147" s="472"/>
      <c r="Z147" s="352"/>
      <c r="AA147" s="520"/>
      <c r="AB147" s="163"/>
      <c r="AC147" s="148"/>
      <c r="AD147" s="145"/>
      <c r="AE147" s="348" t="s">
        <v>280</v>
      </c>
      <c r="AF147" s="354" t="s">
        <v>79</v>
      </c>
    </row>
    <row r="148" spans="2:32">
      <c r="B148" s="514" t="str">
        <f>IF(AND(Validator!J642=TRUE,Validator!J142=TRUE,Validator!J392,Validator!J392=TRUE,Validator!J892=TRUE,Validator!J1142=TRUE,Validator!J1392=TRUE),"Valid","Invalid")</f>
        <v>Valid</v>
      </c>
      <c r="C148" s="144"/>
      <c r="D148" s="364"/>
      <c r="E148" s="145"/>
      <c r="F148" s="580"/>
      <c r="G148" s="309"/>
      <c r="H148" s="580"/>
      <c r="I148" s="296"/>
      <c r="J148" s="376"/>
      <c r="K148" s="146"/>
      <c r="L148" s="539"/>
      <c r="M148" s="469"/>
      <c r="N148" s="373"/>
      <c r="O148" s="348" t="s">
        <v>280</v>
      </c>
      <c r="P148" s="349" t="s">
        <v>79</v>
      </c>
      <c r="Q148" s="516"/>
      <c r="R148" s="467"/>
      <c r="S148" s="517"/>
      <c r="T148" s="517"/>
      <c r="U148" s="171" t="str">
        <f>IF(ISERROR(VLOOKUP($T148, 'Reference data'!$J$2:$K$139, 2, FALSE)),"-",VLOOKUP($T148, 'Reference data'!$J$2:$K$139, 2, FALSE))</f>
        <v>-</v>
      </c>
      <c r="V148" s="147"/>
      <c r="W148" s="147"/>
      <c r="X148" s="471"/>
      <c r="Y148" s="472"/>
      <c r="Z148" s="352"/>
      <c r="AA148" s="520"/>
      <c r="AB148" s="163"/>
      <c r="AC148" s="148"/>
      <c r="AD148" s="145"/>
      <c r="AE148" s="348" t="s">
        <v>280</v>
      </c>
      <c r="AF148" s="354" t="s">
        <v>79</v>
      </c>
    </row>
    <row r="149" spans="2:32">
      <c r="B149" s="514" t="str">
        <f>IF(AND(Validator!J643=TRUE,Validator!J143=TRUE,Validator!J393,Validator!J393=TRUE,Validator!J893=TRUE,Validator!J1143=TRUE,Validator!J1393=TRUE),"Valid","Invalid")</f>
        <v>Valid</v>
      </c>
      <c r="C149" s="144"/>
      <c r="D149" s="364"/>
      <c r="E149" s="145"/>
      <c r="F149" s="580"/>
      <c r="G149" s="309"/>
      <c r="H149" s="580"/>
      <c r="I149" s="296"/>
      <c r="J149" s="376"/>
      <c r="K149" s="146"/>
      <c r="L149" s="539"/>
      <c r="M149" s="469"/>
      <c r="N149" s="373"/>
      <c r="O149" s="348" t="s">
        <v>280</v>
      </c>
      <c r="P149" s="349" t="s">
        <v>79</v>
      </c>
      <c r="Q149" s="516"/>
      <c r="R149" s="467"/>
      <c r="S149" s="517"/>
      <c r="T149" s="517"/>
      <c r="U149" s="171" t="str">
        <f>IF(ISERROR(VLOOKUP($T149, 'Reference data'!$J$2:$K$139, 2, FALSE)),"-",VLOOKUP($T149, 'Reference data'!$J$2:$K$139, 2, FALSE))</f>
        <v>-</v>
      </c>
      <c r="V149" s="147"/>
      <c r="W149" s="147"/>
      <c r="X149" s="471"/>
      <c r="Y149" s="472"/>
      <c r="Z149" s="352"/>
      <c r="AA149" s="520"/>
      <c r="AB149" s="163"/>
      <c r="AC149" s="148"/>
      <c r="AD149" s="145"/>
      <c r="AE149" s="348" t="s">
        <v>280</v>
      </c>
      <c r="AF149" s="354" t="s">
        <v>79</v>
      </c>
    </row>
    <row r="150" spans="2:32">
      <c r="B150" s="514" t="str">
        <f>IF(AND(Validator!J644=TRUE,Validator!J144=TRUE,Validator!J394,Validator!J394=TRUE,Validator!J894=TRUE,Validator!J1144=TRUE,Validator!J1394=TRUE),"Valid","Invalid")</f>
        <v>Valid</v>
      </c>
      <c r="C150" s="144"/>
      <c r="D150" s="364"/>
      <c r="E150" s="145"/>
      <c r="F150" s="580"/>
      <c r="G150" s="309"/>
      <c r="H150" s="580"/>
      <c r="I150" s="296"/>
      <c r="J150" s="376"/>
      <c r="K150" s="146"/>
      <c r="L150" s="539"/>
      <c r="M150" s="469"/>
      <c r="N150" s="373"/>
      <c r="O150" s="348" t="s">
        <v>280</v>
      </c>
      <c r="P150" s="349" t="s">
        <v>79</v>
      </c>
      <c r="Q150" s="516"/>
      <c r="R150" s="467"/>
      <c r="S150" s="517"/>
      <c r="T150" s="517"/>
      <c r="U150" s="171" t="str">
        <f>IF(ISERROR(VLOOKUP($T150, 'Reference data'!$J$2:$K$139, 2, FALSE)),"-",VLOOKUP($T150, 'Reference data'!$J$2:$K$139, 2, FALSE))</f>
        <v>-</v>
      </c>
      <c r="V150" s="147"/>
      <c r="W150" s="147"/>
      <c r="X150" s="471"/>
      <c r="Y150" s="472"/>
      <c r="Z150" s="352"/>
      <c r="AA150" s="520"/>
      <c r="AB150" s="163"/>
      <c r="AC150" s="148"/>
      <c r="AD150" s="145"/>
      <c r="AE150" s="348" t="s">
        <v>280</v>
      </c>
      <c r="AF150" s="354" t="s">
        <v>79</v>
      </c>
    </row>
    <row r="151" spans="2:32">
      <c r="B151" s="514" t="str">
        <f>IF(AND(Validator!J645=TRUE,Validator!J145=TRUE,Validator!J395,Validator!J395=TRUE,Validator!J895=TRUE,Validator!J1145=TRUE,Validator!J1395=TRUE),"Valid","Invalid")</f>
        <v>Valid</v>
      </c>
      <c r="C151" s="144"/>
      <c r="D151" s="364"/>
      <c r="E151" s="145"/>
      <c r="F151" s="580"/>
      <c r="G151" s="309"/>
      <c r="H151" s="580"/>
      <c r="I151" s="296"/>
      <c r="J151" s="376"/>
      <c r="K151" s="146"/>
      <c r="L151" s="539"/>
      <c r="M151" s="469"/>
      <c r="N151" s="373"/>
      <c r="O151" s="348" t="s">
        <v>280</v>
      </c>
      <c r="P151" s="349" t="s">
        <v>79</v>
      </c>
      <c r="Q151" s="516"/>
      <c r="R151" s="467"/>
      <c r="S151" s="517"/>
      <c r="T151" s="517"/>
      <c r="U151" s="171" t="str">
        <f>IF(ISERROR(VLOOKUP($T151, 'Reference data'!$J$2:$K$139, 2, FALSE)),"-",VLOOKUP($T151, 'Reference data'!$J$2:$K$139, 2, FALSE))</f>
        <v>-</v>
      </c>
      <c r="V151" s="147"/>
      <c r="W151" s="147"/>
      <c r="X151" s="471"/>
      <c r="Y151" s="472"/>
      <c r="Z151" s="352"/>
      <c r="AA151" s="520"/>
      <c r="AB151" s="163"/>
      <c r="AC151" s="148"/>
      <c r="AD151" s="145"/>
      <c r="AE151" s="348" t="s">
        <v>280</v>
      </c>
      <c r="AF151" s="354" t="s">
        <v>79</v>
      </c>
    </row>
    <row r="152" spans="2:32">
      <c r="B152" s="514" t="str">
        <f>IF(AND(Validator!J646=TRUE,Validator!J146=TRUE,Validator!J396,Validator!J396=TRUE,Validator!J896=TRUE,Validator!J1146=TRUE,Validator!J1396=TRUE),"Valid","Invalid")</f>
        <v>Valid</v>
      </c>
      <c r="C152" s="144"/>
      <c r="D152" s="364"/>
      <c r="E152" s="145"/>
      <c r="F152" s="580"/>
      <c r="G152" s="309"/>
      <c r="H152" s="580"/>
      <c r="I152" s="296"/>
      <c r="J152" s="376"/>
      <c r="K152" s="146"/>
      <c r="L152" s="539"/>
      <c r="M152" s="469"/>
      <c r="N152" s="373"/>
      <c r="O152" s="348" t="s">
        <v>280</v>
      </c>
      <c r="P152" s="349" t="s">
        <v>79</v>
      </c>
      <c r="Q152" s="516"/>
      <c r="R152" s="467"/>
      <c r="S152" s="517"/>
      <c r="T152" s="517"/>
      <c r="U152" s="171" t="str">
        <f>IF(ISERROR(VLOOKUP($T152, 'Reference data'!$J$2:$K$139, 2, FALSE)),"-",VLOOKUP($T152, 'Reference data'!$J$2:$K$139, 2, FALSE))</f>
        <v>-</v>
      </c>
      <c r="V152" s="147"/>
      <c r="W152" s="147"/>
      <c r="X152" s="471"/>
      <c r="Y152" s="472"/>
      <c r="Z152" s="352"/>
      <c r="AA152" s="520"/>
      <c r="AB152" s="163"/>
      <c r="AC152" s="148"/>
      <c r="AD152" s="145"/>
      <c r="AE152" s="348" t="s">
        <v>280</v>
      </c>
      <c r="AF152" s="354" t="s">
        <v>79</v>
      </c>
    </row>
    <row r="153" spans="2:32">
      <c r="B153" s="514" t="str">
        <f>IF(AND(Validator!J647=TRUE,Validator!J147=TRUE,Validator!J397,Validator!J397=TRUE,Validator!J897=TRUE,Validator!J1147=TRUE,Validator!J1397=TRUE),"Valid","Invalid")</f>
        <v>Valid</v>
      </c>
      <c r="C153" s="144"/>
      <c r="D153" s="364"/>
      <c r="E153" s="145"/>
      <c r="F153" s="580"/>
      <c r="G153" s="309"/>
      <c r="H153" s="580"/>
      <c r="I153" s="296"/>
      <c r="J153" s="376"/>
      <c r="K153" s="146"/>
      <c r="L153" s="539"/>
      <c r="M153" s="469"/>
      <c r="N153" s="373"/>
      <c r="O153" s="348" t="s">
        <v>280</v>
      </c>
      <c r="P153" s="349" t="s">
        <v>79</v>
      </c>
      <c r="Q153" s="516"/>
      <c r="R153" s="467"/>
      <c r="S153" s="517"/>
      <c r="T153" s="517"/>
      <c r="U153" s="171" t="str">
        <f>IF(ISERROR(VLOOKUP($T153, 'Reference data'!$J$2:$K$139, 2, FALSE)),"-",VLOOKUP($T153, 'Reference data'!$J$2:$K$139, 2, FALSE))</f>
        <v>-</v>
      </c>
      <c r="V153" s="147"/>
      <c r="W153" s="147"/>
      <c r="X153" s="471"/>
      <c r="Y153" s="472"/>
      <c r="Z153" s="352"/>
      <c r="AA153" s="520"/>
      <c r="AB153" s="163"/>
      <c r="AC153" s="148"/>
      <c r="AD153" s="145"/>
      <c r="AE153" s="348" t="s">
        <v>280</v>
      </c>
      <c r="AF153" s="354" t="s">
        <v>79</v>
      </c>
    </row>
    <row r="154" spans="2:32">
      <c r="B154" s="514" t="str">
        <f>IF(AND(Validator!J648=TRUE,Validator!J148=TRUE,Validator!J398,Validator!J398=TRUE,Validator!J898=TRUE,Validator!J1148=TRUE,Validator!J1398=TRUE),"Valid","Invalid")</f>
        <v>Valid</v>
      </c>
      <c r="C154" s="144"/>
      <c r="D154" s="364"/>
      <c r="E154" s="145"/>
      <c r="F154" s="580"/>
      <c r="G154" s="309"/>
      <c r="H154" s="580"/>
      <c r="I154" s="296"/>
      <c r="J154" s="376"/>
      <c r="K154" s="146"/>
      <c r="L154" s="539"/>
      <c r="M154" s="469"/>
      <c r="N154" s="373"/>
      <c r="O154" s="348" t="s">
        <v>280</v>
      </c>
      <c r="P154" s="349" t="s">
        <v>79</v>
      </c>
      <c r="Q154" s="516"/>
      <c r="R154" s="467"/>
      <c r="S154" s="517"/>
      <c r="T154" s="517"/>
      <c r="U154" s="171" t="str">
        <f>IF(ISERROR(VLOOKUP($T154, 'Reference data'!$J$2:$K$139, 2, FALSE)),"-",VLOOKUP($T154, 'Reference data'!$J$2:$K$139, 2, FALSE))</f>
        <v>-</v>
      </c>
      <c r="V154" s="147"/>
      <c r="W154" s="147"/>
      <c r="X154" s="471"/>
      <c r="Y154" s="472"/>
      <c r="Z154" s="352"/>
      <c r="AA154" s="520"/>
      <c r="AB154" s="163"/>
      <c r="AC154" s="148"/>
      <c r="AD154" s="145"/>
      <c r="AE154" s="348" t="s">
        <v>280</v>
      </c>
      <c r="AF154" s="354" t="s">
        <v>79</v>
      </c>
    </row>
    <row r="155" spans="2:32">
      <c r="B155" s="514" t="str">
        <f>IF(AND(Validator!J649=TRUE,Validator!J149=TRUE,Validator!J399,Validator!J399=TRUE,Validator!J899=TRUE,Validator!J1149=TRUE,Validator!J1399=TRUE),"Valid","Invalid")</f>
        <v>Valid</v>
      </c>
      <c r="C155" s="144"/>
      <c r="D155" s="364"/>
      <c r="E155" s="145"/>
      <c r="F155" s="580"/>
      <c r="G155" s="309"/>
      <c r="H155" s="580"/>
      <c r="I155" s="296"/>
      <c r="J155" s="376"/>
      <c r="K155" s="146"/>
      <c r="L155" s="539"/>
      <c r="M155" s="469"/>
      <c r="N155" s="373"/>
      <c r="O155" s="348" t="s">
        <v>280</v>
      </c>
      <c r="P155" s="349" t="s">
        <v>79</v>
      </c>
      <c r="Q155" s="516"/>
      <c r="R155" s="467"/>
      <c r="S155" s="517"/>
      <c r="T155" s="517"/>
      <c r="U155" s="171" t="str">
        <f>IF(ISERROR(VLOOKUP($T155, 'Reference data'!$J$2:$K$139, 2, FALSE)),"-",VLOOKUP($T155, 'Reference data'!$J$2:$K$139, 2, FALSE))</f>
        <v>-</v>
      </c>
      <c r="V155" s="147"/>
      <c r="W155" s="147"/>
      <c r="X155" s="471"/>
      <c r="Y155" s="472"/>
      <c r="Z155" s="352"/>
      <c r="AA155" s="520"/>
      <c r="AB155" s="163"/>
      <c r="AC155" s="148"/>
      <c r="AD155" s="145"/>
      <c r="AE155" s="348" t="s">
        <v>280</v>
      </c>
      <c r="AF155" s="354" t="s">
        <v>79</v>
      </c>
    </row>
    <row r="156" spans="2:32">
      <c r="B156" s="514" t="str">
        <f>IF(AND(Validator!J650=TRUE,Validator!J150=TRUE,Validator!J400,Validator!J400=TRUE,Validator!J900=TRUE,Validator!J1150=TRUE,Validator!J1400=TRUE),"Valid","Invalid")</f>
        <v>Valid</v>
      </c>
      <c r="C156" s="144"/>
      <c r="D156" s="364"/>
      <c r="E156" s="145"/>
      <c r="F156" s="580"/>
      <c r="G156" s="309"/>
      <c r="H156" s="580"/>
      <c r="I156" s="296"/>
      <c r="J156" s="376"/>
      <c r="K156" s="146"/>
      <c r="L156" s="539"/>
      <c r="M156" s="469"/>
      <c r="N156" s="373"/>
      <c r="O156" s="348" t="s">
        <v>280</v>
      </c>
      <c r="P156" s="349" t="s">
        <v>79</v>
      </c>
      <c r="Q156" s="516"/>
      <c r="R156" s="467"/>
      <c r="S156" s="517"/>
      <c r="T156" s="517"/>
      <c r="U156" s="171" t="str">
        <f>IF(ISERROR(VLOOKUP($T156, 'Reference data'!$J$2:$K$139, 2, FALSE)),"-",VLOOKUP($T156, 'Reference data'!$J$2:$K$139, 2, FALSE))</f>
        <v>-</v>
      </c>
      <c r="V156" s="147"/>
      <c r="W156" s="147"/>
      <c r="X156" s="471"/>
      <c r="Y156" s="472"/>
      <c r="Z156" s="352"/>
      <c r="AA156" s="520"/>
      <c r="AB156" s="163"/>
      <c r="AC156" s="148"/>
      <c r="AD156" s="145"/>
      <c r="AE156" s="348" t="s">
        <v>280</v>
      </c>
      <c r="AF156" s="354" t="s">
        <v>79</v>
      </c>
    </row>
    <row r="157" spans="2:32">
      <c r="B157" s="514" t="str">
        <f>IF(AND(Validator!J651=TRUE,Validator!J151=TRUE,Validator!J401,Validator!J401=TRUE,Validator!J901=TRUE,Validator!J1151=TRUE,Validator!J1401=TRUE),"Valid","Invalid")</f>
        <v>Valid</v>
      </c>
      <c r="C157" s="144"/>
      <c r="D157" s="364"/>
      <c r="E157" s="145"/>
      <c r="F157" s="580"/>
      <c r="G157" s="309"/>
      <c r="H157" s="580"/>
      <c r="I157" s="296"/>
      <c r="J157" s="376"/>
      <c r="K157" s="146"/>
      <c r="L157" s="539"/>
      <c r="M157" s="469"/>
      <c r="N157" s="373"/>
      <c r="O157" s="348" t="s">
        <v>280</v>
      </c>
      <c r="P157" s="349" t="s">
        <v>79</v>
      </c>
      <c r="Q157" s="516"/>
      <c r="R157" s="467"/>
      <c r="S157" s="517"/>
      <c r="T157" s="517"/>
      <c r="U157" s="171" t="str">
        <f>IF(ISERROR(VLOOKUP($T157, 'Reference data'!$J$2:$K$139, 2, FALSE)),"-",VLOOKUP($T157, 'Reference data'!$J$2:$K$139, 2, FALSE))</f>
        <v>-</v>
      </c>
      <c r="V157" s="147"/>
      <c r="W157" s="147"/>
      <c r="X157" s="471"/>
      <c r="Y157" s="472"/>
      <c r="Z157" s="352"/>
      <c r="AA157" s="520"/>
      <c r="AB157" s="163"/>
      <c r="AC157" s="148"/>
      <c r="AD157" s="145"/>
      <c r="AE157" s="348" t="s">
        <v>280</v>
      </c>
      <c r="AF157" s="354" t="s">
        <v>79</v>
      </c>
    </row>
    <row r="158" spans="2:32">
      <c r="B158" s="514" t="str">
        <f>IF(AND(Validator!J652=TRUE,Validator!J152=TRUE,Validator!J402,Validator!J402=TRUE,Validator!J902=TRUE,Validator!J1152=TRUE,Validator!J1402=TRUE),"Valid","Invalid")</f>
        <v>Valid</v>
      </c>
      <c r="C158" s="144"/>
      <c r="D158" s="364"/>
      <c r="E158" s="145"/>
      <c r="F158" s="580"/>
      <c r="G158" s="309"/>
      <c r="H158" s="580"/>
      <c r="I158" s="296"/>
      <c r="J158" s="376"/>
      <c r="K158" s="146"/>
      <c r="L158" s="539"/>
      <c r="M158" s="469"/>
      <c r="N158" s="373"/>
      <c r="O158" s="348" t="s">
        <v>280</v>
      </c>
      <c r="P158" s="349" t="s">
        <v>79</v>
      </c>
      <c r="Q158" s="516"/>
      <c r="R158" s="467"/>
      <c r="S158" s="517"/>
      <c r="T158" s="517"/>
      <c r="U158" s="171" t="str">
        <f>IF(ISERROR(VLOOKUP($T158, 'Reference data'!$J$2:$K$139, 2, FALSE)),"-",VLOOKUP($T158, 'Reference data'!$J$2:$K$139, 2, FALSE))</f>
        <v>-</v>
      </c>
      <c r="V158" s="147"/>
      <c r="W158" s="147"/>
      <c r="X158" s="471"/>
      <c r="Y158" s="472"/>
      <c r="Z158" s="352"/>
      <c r="AA158" s="520"/>
      <c r="AB158" s="163"/>
      <c r="AC158" s="148"/>
      <c r="AD158" s="145"/>
      <c r="AE158" s="348" t="s">
        <v>280</v>
      </c>
      <c r="AF158" s="354" t="s">
        <v>79</v>
      </c>
    </row>
    <row r="159" spans="2:32">
      <c r="B159" s="514" t="str">
        <f>IF(AND(Validator!J653=TRUE,Validator!J153=TRUE,Validator!J403,Validator!J403=TRUE,Validator!J903=TRUE,Validator!J1153=TRUE,Validator!J1403=TRUE),"Valid","Invalid")</f>
        <v>Valid</v>
      </c>
      <c r="C159" s="144"/>
      <c r="D159" s="364"/>
      <c r="E159" s="145"/>
      <c r="F159" s="580"/>
      <c r="G159" s="309"/>
      <c r="H159" s="580"/>
      <c r="I159" s="296"/>
      <c r="J159" s="376"/>
      <c r="K159" s="146"/>
      <c r="L159" s="539"/>
      <c r="M159" s="469"/>
      <c r="N159" s="373"/>
      <c r="O159" s="348" t="s">
        <v>280</v>
      </c>
      <c r="P159" s="349" t="s">
        <v>79</v>
      </c>
      <c r="Q159" s="516"/>
      <c r="R159" s="467"/>
      <c r="S159" s="517"/>
      <c r="T159" s="517"/>
      <c r="U159" s="171" t="str">
        <f>IF(ISERROR(VLOOKUP($T159, 'Reference data'!$J$2:$K$139, 2, FALSE)),"-",VLOOKUP($T159, 'Reference data'!$J$2:$K$139, 2, FALSE))</f>
        <v>-</v>
      </c>
      <c r="V159" s="147"/>
      <c r="W159" s="147"/>
      <c r="X159" s="471"/>
      <c r="Y159" s="472"/>
      <c r="Z159" s="352"/>
      <c r="AA159" s="520"/>
      <c r="AB159" s="163"/>
      <c r="AC159" s="148"/>
      <c r="AD159" s="145"/>
      <c r="AE159" s="348" t="s">
        <v>280</v>
      </c>
      <c r="AF159" s="354" t="s">
        <v>79</v>
      </c>
    </row>
    <row r="160" spans="2:32">
      <c r="B160" s="514" t="str">
        <f>IF(AND(Validator!J654=TRUE,Validator!J154=TRUE,Validator!J404,Validator!J404=TRUE,Validator!J904=TRUE,Validator!J1154=TRUE,Validator!J1404=TRUE),"Valid","Invalid")</f>
        <v>Valid</v>
      </c>
      <c r="C160" s="144"/>
      <c r="D160" s="364"/>
      <c r="E160" s="145"/>
      <c r="F160" s="580"/>
      <c r="G160" s="309"/>
      <c r="H160" s="580"/>
      <c r="I160" s="296"/>
      <c r="J160" s="376"/>
      <c r="K160" s="146"/>
      <c r="L160" s="539"/>
      <c r="M160" s="469"/>
      <c r="N160" s="373"/>
      <c r="O160" s="348" t="s">
        <v>280</v>
      </c>
      <c r="P160" s="349" t="s">
        <v>79</v>
      </c>
      <c r="Q160" s="516"/>
      <c r="R160" s="467"/>
      <c r="S160" s="517"/>
      <c r="T160" s="517"/>
      <c r="U160" s="171" t="str">
        <f>IF(ISERROR(VLOOKUP($T160, 'Reference data'!$J$2:$K$139, 2, FALSE)),"-",VLOOKUP($T160, 'Reference data'!$J$2:$K$139, 2, FALSE))</f>
        <v>-</v>
      </c>
      <c r="V160" s="147"/>
      <c r="W160" s="147"/>
      <c r="X160" s="471"/>
      <c r="Y160" s="472"/>
      <c r="Z160" s="352"/>
      <c r="AA160" s="520"/>
      <c r="AB160" s="163"/>
      <c r="AC160" s="148"/>
      <c r="AD160" s="145"/>
      <c r="AE160" s="348" t="s">
        <v>280</v>
      </c>
      <c r="AF160" s="354" t="s">
        <v>79</v>
      </c>
    </row>
    <row r="161" spans="2:32">
      <c r="B161" s="514" t="str">
        <f>IF(AND(Validator!J655=TRUE,Validator!J155=TRUE,Validator!J405,Validator!J405=TRUE,Validator!J905=TRUE,Validator!J1155=TRUE,Validator!J1405=TRUE),"Valid","Invalid")</f>
        <v>Valid</v>
      </c>
      <c r="C161" s="144"/>
      <c r="D161" s="364"/>
      <c r="E161" s="145"/>
      <c r="F161" s="580"/>
      <c r="G161" s="309"/>
      <c r="H161" s="580"/>
      <c r="I161" s="296"/>
      <c r="J161" s="376"/>
      <c r="K161" s="146"/>
      <c r="L161" s="539"/>
      <c r="M161" s="469"/>
      <c r="N161" s="373"/>
      <c r="O161" s="348" t="s">
        <v>280</v>
      </c>
      <c r="P161" s="349" t="s">
        <v>79</v>
      </c>
      <c r="Q161" s="516"/>
      <c r="R161" s="467"/>
      <c r="S161" s="517"/>
      <c r="T161" s="517"/>
      <c r="U161" s="171" t="str">
        <f>IF(ISERROR(VLOOKUP($T161, 'Reference data'!$J$2:$K$139, 2, FALSE)),"-",VLOOKUP($T161, 'Reference data'!$J$2:$K$139, 2, FALSE))</f>
        <v>-</v>
      </c>
      <c r="V161" s="147"/>
      <c r="W161" s="147"/>
      <c r="X161" s="471"/>
      <c r="Y161" s="472"/>
      <c r="Z161" s="352"/>
      <c r="AA161" s="520"/>
      <c r="AB161" s="163"/>
      <c r="AC161" s="148"/>
      <c r="AD161" s="145"/>
      <c r="AE161" s="348" t="s">
        <v>280</v>
      </c>
      <c r="AF161" s="354" t="s">
        <v>79</v>
      </c>
    </row>
    <row r="162" spans="2:32">
      <c r="B162" s="514" t="str">
        <f>IF(AND(Validator!J656=TRUE,Validator!J156=TRUE,Validator!J406,Validator!J406=TRUE,Validator!J906=TRUE,Validator!J1156=TRUE,Validator!J1406=TRUE),"Valid","Invalid")</f>
        <v>Valid</v>
      </c>
      <c r="C162" s="144"/>
      <c r="D162" s="364"/>
      <c r="E162" s="145"/>
      <c r="F162" s="580"/>
      <c r="G162" s="309"/>
      <c r="H162" s="580"/>
      <c r="I162" s="296"/>
      <c r="J162" s="376"/>
      <c r="K162" s="146"/>
      <c r="L162" s="539"/>
      <c r="M162" s="469"/>
      <c r="N162" s="373"/>
      <c r="O162" s="348" t="s">
        <v>280</v>
      </c>
      <c r="P162" s="349" t="s">
        <v>79</v>
      </c>
      <c r="Q162" s="516"/>
      <c r="R162" s="467"/>
      <c r="S162" s="517"/>
      <c r="T162" s="517"/>
      <c r="U162" s="171" t="str">
        <f>IF(ISERROR(VLOOKUP($T162, 'Reference data'!$J$2:$K$139, 2, FALSE)),"-",VLOOKUP($T162, 'Reference data'!$J$2:$K$139, 2, FALSE))</f>
        <v>-</v>
      </c>
      <c r="V162" s="147"/>
      <c r="W162" s="147"/>
      <c r="X162" s="471"/>
      <c r="Y162" s="472"/>
      <c r="Z162" s="352"/>
      <c r="AA162" s="520"/>
      <c r="AB162" s="163"/>
      <c r="AC162" s="148"/>
      <c r="AD162" s="145"/>
      <c r="AE162" s="348" t="s">
        <v>280</v>
      </c>
      <c r="AF162" s="354" t="s">
        <v>79</v>
      </c>
    </row>
    <row r="163" spans="2:32">
      <c r="B163" s="514" t="str">
        <f>IF(AND(Validator!J657=TRUE,Validator!J157=TRUE,Validator!J407,Validator!J407=TRUE,Validator!J907=TRUE,Validator!J1157=TRUE,Validator!J1407=TRUE),"Valid","Invalid")</f>
        <v>Valid</v>
      </c>
      <c r="C163" s="144"/>
      <c r="D163" s="364"/>
      <c r="E163" s="145"/>
      <c r="F163" s="580"/>
      <c r="G163" s="309"/>
      <c r="H163" s="580"/>
      <c r="I163" s="296"/>
      <c r="J163" s="376"/>
      <c r="K163" s="146"/>
      <c r="L163" s="539"/>
      <c r="M163" s="469"/>
      <c r="N163" s="373"/>
      <c r="O163" s="348" t="s">
        <v>280</v>
      </c>
      <c r="P163" s="349" t="s">
        <v>79</v>
      </c>
      <c r="Q163" s="516"/>
      <c r="R163" s="467"/>
      <c r="S163" s="517"/>
      <c r="T163" s="517"/>
      <c r="U163" s="171" t="str">
        <f>IF(ISERROR(VLOOKUP($T163, 'Reference data'!$J$2:$K$139, 2, FALSE)),"-",VLOOKUP($T163, 'Reference data'!$J$2:$K$139, 2, FALSE))</f>
        <v>-</v>
      </c>
      <c r="V163" s="147"/>
      <c r="W163" s="147"/>
      <c r="X163" s="471"/>
      <c r="Y163" s="472"/>
      <c r="Z163" s="352"/>
      <c r="AA163" s="520"/>
      <c r="AB163" s="163"/>
      <c r="AC163" s="148"/>
      <c r="AD163" s="145"/>
      <c r="AE163" s="348" t="s">
        <v>280</v>
      </c>
      <c r="AF163" s="354" t="s">
        <v>79</v>
      </c>
    </row>
    <row r="164" spans="2:32">
      <c r="B164" s="514" t="str">
        <f>IF(AND(Validator!J658=TRUE,Validator!J158=TRUE,Validator!J408,Validator!J408=TRUE,Validator!J908=TRUE,Validator!J1158=TRUE,Validator!J1408=TRUE),"Valid","Invalid")</f>
        <v>Valid</v>
      </c>
      <c r="C164" s="144"/>
      <c r="D164" s="364"/>
      <c r="E164" s="145"/>
      <c r="F164" s="580"/>
      <c r="G164" s="309"/>
      <c r="H164" s="580"/>
      <c r="I164" s="296"/>
      <c r="J164" s="376"/>
      <c r="K164" s="146"/>
      <c r="L164" s="539"/>
      <c r="M164" s="469"/>
      <c r="N164" s="373"/>
      <c r="O164" s="348" t="s">
        <v>280</v>
      </c>
      <c r="P164" s="349" t="s">
        <v>79</v>
      </c>
      <c r="Q164" s="516"/>
      <c r="R164" s="467"/>
      <c r="S164" s="517"/>
      <c r="T164" s="517"/>
      <c r="U164" s="171" t="str">
        <f>IF(ISERROR(VLOOKUP($T164, 'Reference data'!$J$2:$K$139, 2, FALSE)),"-",VLOOKUP($T164, 'Reference data'!$J$2:$K$139, 2, FALSE))</f>
        <v>-</v>
      </c>
      <c r="V164" s="147"/>
      <c r="W164" s="147"/>
      <c r="X164" s="471"/>
      <c r="Y164" s="472"/>
      <c r="Z164" s="352"/>
      <c r="AA164" s="520"/>
      <c r="AB164" s="163"/>
      <c r="AC164" s="148"/>
      <c r="AD164" s="145"/>
      <c r="AE164" s="348" t="s">
        <v>280</v>
      </c>
      <c r="AF164" s="354" t="s">
        <v>79</v>
      </c>
    </row>
    <row r="165" spans="2:32">
      <c r="B165" s="514" t="str">
        <f>IF(AND(Validator!J659=TRUE,Validator!J159=TRUE,Validator!J409,Validator!J409=TRUE,Validator!J909=TRUE,Validator!J1159=TRUE,Validator!J1409=TRUE),"Valid","Invalid")</f>
        <v>Valid</v>
      </c>
      <c r="C165" s="144"/>
      <c r="D165" s="364"/>
      <c r="E165" s="145"/>
      <c r="F165" s="580"/>
      <c r="G165" s="309"/>
      <c r="H165" s="580"/>
      <c r="I165" s="296"/>
      <c r="J165" s="376"/>
      <c r="K165" s="146"/>
      <c r="L165" s="539"/>
      <c r="M165" s="469"/>
      <c r="N165" s="373"/>
      <c r="O165" s="348" t="s">
        <v>280</v>
      </c>
      <c r="P165" s="349" t="s">
        <v>79</v>
      </c>
      <c r="Q165" s="516"/>
      <c r="R165" s="467"/>
      <c r="S165" s="517"/>
      <c r="T165" s="517"/>
      <c r="U165" s="171" t="str">
        <f>IF(ISERROR(VLOOKUP($T165, 'Reference data'!$J$2:$K$139, 2, FALSE)),"-",VLOOKUP($T165, 'Reference data'!$J$2:$K$139, 2, FALSE))</f>
        <v>-</v>
      </c>
      <c r="V165" s="147"/>
      <c r="W165" s="147"/>
      <c r="X165" s="471"/>
      <c r="Y165" s="472"/>
      <c r="Z165" s="352"/>
      <c r="AA165" s="520"/>
      <c r="AB165" s="163"/>
      <c r="AC165" s="148"/>
      <c r="AD165" s="145"/>
      <c r="AE165" s="348" t="s">
        <v>280</v>
      </c>
      <c r="AF165" s="354" t="s">
        <v>79</v>
      </c>
    </row>
    <row r="166" spans="2:32">
      <c r="B166" s="514" t="str">
        <f>IF(AND(Validator!J660=TRUE,Validator!J160=TRUE,Validator!J410,Validator!J410=TRUE,Validator!J910=TRUE,Validator!J1160=TRUE,Validator!J1410=TRUE),"Valid","Invalid")</f>
        <v>Valid</v>
      </c>
      <c r="C166" s="144"/>
      <c r="D166" s="364"/>
      <c r="E166" s="145"/>
      <c r="F166" s="580"/>
      <c r="G166" s="309"/>
      <c r="H166" s="580"/>
      <c r="I166" s="296"/>
      <c r="J166" s="376"/>
      <c r="K166" s="146"/>
      <c r="L166" s="539"/>
      <c r="M166" s="469"/>
      <c r="N166" s="373"/>
      <c r="O166" s="348" t="s">
        <v>280</v>
      </c>
      <c r="P166" s="349" t="s">
        <v>79</v>
      </c>
      <c r="Q166" s="516"/>
      <c r="R166" s="467"/>
      <c r="S166" s="517"/>
      <c r="T166" s="517"/>
      <c r="U166" s="171" t="str">
        <f>IF(ISERROR(VLOOKUP($T166, 'Reference data'!$J$2:$K$139, 2, FALSE)),"-",VLOOKUP($T166, 'Reference data'!$J$2:$K$139, 2, FALSE))</f>
        <v>-</v>
      </c>
      <c r="V166" s="147"/>
      <c r="W166" s="147"/>
      <c r="X166" s="471"/>
      <c r="Y166" s="472"/>
      <c r="Z166" s="352"/>
      <c r="AA166" s="520"/>
      <c r="AB166" s="163"/>
      <c r="AC166" s="148"/>
      <c r="AD166" s="145"/>
      <c r="AE166" s="348" t="s">
        <v>280</v>
      </c>
      <c r="AF166" s="354" t="s">
        <v>79</v>
      </c>
    </row>
    <row r="167" spans="2:32">
      <c r="B167" s="514" t="str">
        <f>IF(AND(Validator!J661=TRUE,Validator!J161=TRUE,Validator!J411,Validator!J411=TRUE,Validator!J911=TRUE,Validator!J1161=TRUE,Validator!J1411=TRUE),"Valid","Invalid")</f>
        <v>Valid</v>
      </c>
      <c r="C167" s="144"/>
      <c r="D167" s="364"/>
      <c r="E167" s="145"/>
      <c r="F167" s="580"/>
      <c r="G167" s="309"/>
      <c r="H167" s="580"/>
      <c r="I167" s="296"/>
      <c r="J167" s="376"/>
      <c r="K167" s="146"/>
      <c r="L167" s="539"/>
      <c r="M167" s="469"/>
      <c r="N167" s="373"/>
      <c r="O167" s="348" t="s">
        <v>280</v>
      </c>
      <c r="P167" s="349" t="s">
        <v>79</v>
      </c>
      <c r="Q167" s="516"/>
      <c r="R167" s="467"/>
      <c r="S167" s="517"/>
      <c r="T167" s="517"/>
      <c r="U167" s="171" t="str">
        <f>IF(ISERROR(VLOOKUP($T167, 'Reference data'!$J$2:$K$139, 2, FALSE)),"-",VLOOKUP($T167, 'Reference data'!$J$2:$K$139, 2, FALSE))</f>
        <v>-</v>
      </c>
      <c r="V167" s="147"/>
      <c r="W167" s="147"/>
      <c r="X167" s="471"/>
      <c r="Y167" s="472"/>
      <c r="Z167" s="352"/>
      <c r="AA167" s="520"/>
      <c r="AB167" s="163"/>
      <c r="AC167" s="148"/>
      <c r="AD167" s="145"/>
      <c r="AE167" s="348" t="s">
        <v>280</v>
      </c>
      <c r="AF167" s="354" t="s">
        <v>79</v>
      </c>
    </row>
    <row r="168" spans="2:32">
      <c r="B168" s="514" t="str">
        <f>IF(AND(Validator!J662=TRUE,Validator!J162=TRUE,Validator!J412,Validator!J412=TRUE,Validator!J912=TRUE,Validator!J1162=TRUE,Validator!J1412=TRUE),"Valid","Invalid")</f>
        <v>Valid</v>
      </c>
      <c r="C168" s="144"/>
      <c r="D168" s="364"/>
      <c r="E168" s="145"/>
      <c r="F168" s="580"/>
      <c r="G168" s="309"/>
      <c r="H168" s="580"/>
      <c r="I168" s="296"/>
      <c r="J168" s="376"/>
      <c r="K168" s="146"/>
      <c r="L168" s="539"/>
      <c r="M168" s="469"/>
      <c r="N168" s="373"/>
      <c r="O168" s="348" t="s">
        <v>280</v>
      </c>
      <c r="P168" s="349" t="s">
        <v>79</v>
      </c>
      <c r="Q168" s="516"/>
      <c r="R168" s="467"/>
      <c r="S168" s="517"/>
      <c r="T168" s="517"/>
      <c r="U168" s="171" t="str">
        <f>IF(ISERROR(VLOOKUP($T168, 'Reference data'!$J$2:$K$139, 2, FALSE)),"-",VLOOKUP($T168, 'Reference data'!$J$2:$K$139, 2, FALSE))</f>
        <v>-</v>
      </c>
      <c r="V168" s="147"/>
      <c r="W168" s="147"/>
      <c r="X168" s="471"/>
      <c r="Y168" s="472"/>
      <c r="Z168" s="352"/>
      <c r="AA168" s="520"/>
      <c r="AB168" s="163"/>
      <c r="AC168" s="148"/>
      <c r="AD168" s="145"/>
      <c r="AE168" s="348" t="s">
        <v>280</v>
      </c>
      <c r="AF168" s="354" t="s">
        <v>79</v>
      </c>
    </row>
    <row r="169" spans="2:32">
      <c r="B169" s="514" t="str">
        <f>IF(AND(Validator!J663=TRUE,Validator!J163=TRUE,Validator!J413,Validator!J413=TRUE,Validator!J913=TRUE,Validator!J1163=TRUE,Validator!J1413=TRUE),"Valid","Invalid")</f>
        <v>Valid</v>
      </c>
      <c r="C169" s="144"/>
      <c r="D169" s="364"/>
      <c r="E169" s="145"/>
      <c r="F169" s="580"/>
      <c r="G169" s="309"/>
      <c r="H169" s="580"/>
      <c r="I169" s="296"/>
      <c r="J169" s="376"/>
      <c r="K169" s="146"/>
      <c r="L169" s="539"/>
      <c r="M169" s="469"/>
      <c r="N169" s="373"/>
      <c r="O169" s="348" t="s">
        <v>280</v>
      </c>
      <c r="P169" s="349" t="s">
        <v>79</v>
      </c>
      <c r="Q169" s="516"/>
      <c r="R169" s="467"/>
      <c r="S169" s="517"/>
      <c r="T169" s="517"/>
      <c r="U169" s="171" t="str">
        <f>IF(ISERROR(VLOOKUP($T169, 'Reference data'!$J$2:$K$139, 2, FALSE)),"-",VLOOKUP($T169, 'Reference data'!$J$2:$K$139, 2, FALSE))</f>
        <v>-</v>
      </c>
      <c r="V169" s="147"/>
      <c r="W169" s="147"/>
      <c r="X169" s="471"/>
      <c r="Y169" s="472"/>
      <c r="Z169" s="352"/>
      <c r="AA169" s="520"/>
      <c r="AB169" s="163"/>
      <c r="AC169" s="148"/>
      <c r="AD169" s="145"/>
      <c r="AE169" s="348" t="s">
        <v>280</v>
      </c>
      <c r="AF169" s="354" t="s">
        <v>79</v>
      </c>
    </row>
    <row r="170" spans="2:32">
      <c r="B170" s="514" t="str">
        <f>IF(AND(Validator!J664=TRUE,Validator!J164=TRUE,Validator!J414,Validator!J414=TRUE,Validator!J914=TRUE,Validator!J1164=TRUE,Validator!J1414=TRUE),"Valid","Invalid")</f>
        <v>Valid</v>
      </c>
      <c r="C170" s="144"/>
      <c r="D170" s="364"/>
      <c r="E170" s="145"/>
      <c r="F170" s="580"/>
      <c r="G170" s="309"/>
      <c r="H170" s="580"/>
      <c r="I170" s="296"/>
      <c r="J170" s="376"/>
      <c r="K170" s="146"/>
      <c r="L170" s="539"/>
      <c r="M170" s="469"/>
      <c r="N170" s="373"/>
      <c r="O170" s="348" t="s">
        <v>280</v>
      </c>
      <c r="P170" s="349" t="s">
        <v>79</v>
      </c>
      <c r="Q170" s="516"/>
      <c r="R170" s="467"/>
      <c r="S170" s="517"/>
      <c r="T170" s="517"/>
      <c r="U170" s="171" t="str">
        <f>IF(ISERROR(VLOOKUP($T170, 'Reference data'!$J$2:$K$139, 2, FALSE)),"-",VLOOKUP($T170, 'Reference data'!$J$2:$K$139, 2, FALSE))</f>
        <v>-</v>
      </c>
      <c r="V170" s="147"/>
      <c r="W170" s="147"/>
      <c r="X170" s="471"/>
      <c r="Y170" s="472"/>
      <c r="Z170" s="352"/>
      <c r="AA170" s="520"/>
      <c r="AB170" s="163"/>
      <c r="AC170" s="148"/>
      <c r="AD170" s="145"/>
      <c r="AE170" s="348" t="s">
        <v>280</v>
      </c>
      <c r="AF170" s="354" t="s">
        <v>79</v>
      </c>
    </row>
    <row r="171" spans="2:32">
      <c r="B171" s="514" t="str">
        <f>IF(AND(Validator!J665=TRUE,Validator!J165=TRUE,Validator!J415,Validator!J415=TRUE,Validator!J915=TRUE,Validator!J1165=TRUE,Validator!J1415=TRUE),"Valid","Invalid")</f>
        <v>Valid</v>
      </c>
      <c r="C171" s="144"/>
      <c r="D171" s="364"/>
      <c r="E171" s="145"/>
      <c r="F171" s="580"/>
      <c r="G171" s="309"/>
      <c r="H171" s="580"/>
      <c r="I171" s="296"/>
      <c r="J171" s="376"/>
      <c r="K171" s="146"/>
      <c r="L171" s="539"/>
      <c r="M171" s="469"/>
      <c r="N171" s="373"/>
      <c r="O171" s="348" t="s">
        <v>280</v>
      </c>
      <c r="P171" s="349" t="s">
        <v>79</v>
      </c>
      <c r="Q171" s="516"/>
      <c r="R171" s="467"/>
      <c r="S171" s="517"/>
      <c r="T171" s="517"/>
      <c r="U171" s="171" t="str">
        <f>IF(ISERROR(VLOOKUP($T171, 'Reference data'!$J$2:$K$139, 2, FALSE)),"-",VLOOKUP($T171, 'Reference data'!$J$2:$K$139, 2, FALSE))</f>
        <v>-</v>
      </c>
      <c r="V171" s="147"/>
      <c r="W171" s="147"/>
      <c r="X171" s="471"/>
      <c r="Y171" s="472"/>
      <c r="Z171" s="352"/>
      <c r="AA171" s="520"/>
      <c r="AB171" s="163"/>
      <c r="AC171" s="148"/>
      <c r="AD171" s="145"/>
      <c r="AE171" s="348" t="s">
        <v>280</v>
      </c>
      <c r="AF171" s="354" t="s">
        <v>79</v>
      </c>
    </row>
    <row r="172" spans="2:32">
      <c r="B172" s="514" t="str">
        <f>IF(AND(Validator!J666=TRUE,Validator!J166=TRUE,Validator!J416,Validator!J416=TRUE,Validator!J916=TRUE,Validator!J1166=TRUE,Validator!J1416=TRUE),"Valid","Invalid")</f>
        <v>Valid</v>
      </c>
      <c r="C172" s="144"/>
      <c r="D172" s="364"/>
      <c r="E172" s="145"/>
      <c r="F172" s="580"/>
      <c r="G172" s="309"/>
      <c r="H172" s="580"/>
      <c r="I172" s="296"/>
      <c r="J172" s="376"/>
      <c r="K172" s="146"/>
      <c r="L172" s="539"/>
      <c r="M172" s="469"/>
      <c r="N172" s="373"/>
      <c r="O172" s="348" t="s">
        <v>280</v>
      </c>
      <c r="P172" s="349" t="s">
        <v>79</v>
      </c>
      <c r="Q172" s="516"/>
      <c r="R172" s="467"/>
      <c r="S172" s="517"/>
      <c r="T172" s="517"/>
      <c r="U172" s="171" t="str">
        <f>IF(ISERROR(VLOOKUP($T172, 'Reference data'!$J$2:$K$139, 2, FALSE)),"-",VLOOKUP($T172, 'Reference data'!$J$2:$K$139, 2, FALSE))</f>
        <v>-</v>
      </c>
      <c r="V172" s="147"/>
      <c r="W172" s="147"/>
      <c r="X172" s="471"/>
      <c r="Y172" s="472"/>
      <c r="Z172" s="352"/>
      <c r="AA172" s="520"/>
      <c r="AB172" s="163"/>
      <c r="AC172" s="148"/>
      <c r="AD172" s="145"/>
      <c r="AE172" s="348" t="s">
        <v>280</v>
      </c>
      <c r="AF172" s="354" t="s">
        <v>79</v>
      </c>
    </row>
    <row r="173" spans="2:32">
      <c r="B173" s="514" t="str">
        <f>IF(AND(Validator!J667=TRUE,Validator!J167=TRUE,Validator!J417,Validator!J417=TRUE,Validator!J917=TRUE,Validator!J1167=TRUE,Validator!J1417=TRUE),"Valid","Invalid")</f>
        <v>Valid</v>
      </c>
      <c r="C173" s="144"/>
      <c r="D173" s="364"/>
      <c r="E173" s="145"/>
      <c r="F173" s="580"/>
      <c r="G173" s="309"/>
      <c r="H173" s="580"/>
      <c r="I173" s="296"/>
      <c r="J173" s="376"/>
      <c r="K173" s="146"/>
      <c r="L173" s="539"/>
      <c r="M173" s="469"/>
      <c r="N173" s="373"/>
      <c r="O173" s="348" t="s">
        <v>280</v>
      </c>
      <c r="P173" s="349" t="s">
        <v>79</v>
      </c>
      <c r="Q173" s="516"/>
      <c r="R173" s="467"/>
      <c r="S173" s="517"/>
      <c r="T173" s="517"/>
      <c r="U173" s="171" t="str">
        <f>IF(ISERROR(VLOOKUP($T173, 'Reference data'!$J$2:$K$139, 2, FALSE)),"-",VLOOKUP($T173, 'Reference data'!$J$2:$K$139, 2, FALSE))</f>
        <v>-</v>
      </c>
      <c r="V173" s="147"/>
      <c r="W173" s="147"/>
      <c r="X173" s="471"/>
      <c r="Y173" s="472"/>
      <c r="Z173" s="352"/>
      <c r="AA173" s="520"/>
      <c r="AB173" s="163"/>
      <c r="AC173" s="148"/>
      <c r="AD173" s="145"/>
      <c r="AE173" s="348" t="s">
        <v>280</v>
      </c>
      <c r="AF173" s="354" t="s">
        <v>79</v>
      </c>
    </row>
    <row r="174" spans="2:32">
      <c r="B174" s="514" t="str">
        <f>IF(AND(Validator!J668=TRUE,Validator!J168=TRUE,Validator!J418,Validator!J418=TRUE,Validator!J918=TRUE,Validator!J1168=TRUE,Validator!J1418=TRUE),"Valid","Invalid")</f>
        <v>Valid</v>
      </c>
      <c r="C174" s="144"/>
      <c r="D174" s="364"/>
      <c r="E174" s="145"/>
      <c r="F174" s="580"/>
      <c r="G174" s="309"/>
      <c r="H174" s="580"/>
      <c r="I174" s="296"/>
      <c r="J174" s="376"/>
      <c r="K174" s="146"/>
      <c r="L174" s="539"/>
      <c r="M174" s="469"/>
      <c r="N174" s="373"/>
      <c r="O174" s="348" t="s">
        <v>280</v>
      </c>
      <c r="P174" s="349" t="s">
        <v>79</v>
      </c>
      <c r="Q174" s="516"/>
      <c r="R174" s="467"/>
      <c r="S174" s="517"/>
      <c r="T174" s="517"/>
      <c r="U174" s="171" t="str">
        <f>IF(ISERROR(VLOOKUP($T174, 'Reference data'!$J$2:$K$139, 2, FALSE)),"-",VLOOKUP($T174, 'Reference data'!$J$2:$K$139, 2, FALSE))</f>
        <v>-</v>
      </c>
      <c r="V174" s="147"/>
      <c r="W174" s="147"/>
      <c r="X174" s="471"/>
      <c r="Y174" s="472"/>
      <c r="Z174" s="352"/>
      <c r="AA174" s="520"/>
      <c r="AB174" s="163"/>
      <c r="AC174" s="148"/>
      <c r="AD174" s="145"/>
      <c r="AE174" s="348" t="s">
        <v>280</v>
      </c>
      <c r="AF174" s="354" t="s">
        <v>79</v>
      </c>
    </row>
    <row r="175" spans="2:32">
      <c r="B175" s="514" t="str">
        <f>IF(AND(Validator!J669=TRUE,Validator!J169=TRUE,Validator!J419,Validator!J419=TRUE,Validator!J919=TRUE,Validator!J1169=TRUE,Validator!J1419=TRUE),"Valid","Invalid")</f>
        <v>Valid</v>
      </c>
      <c r="C175" s="144"/>
      <c r="D175" s="364"/>
      <c r="E175" s="145"/>
      <c r="F175" s="580"/>
      <c r="G175" s="309"/>
      <c r="H175" s="580"/>
      <c r="I175" s="296"/>
      <c r="J175" s="376"/>
      <c r="K175" s="146"/>
      <c r="L175" s="539"/>
      <c r="M175" s="469"/>
      <c r="N175" s="373"/>
      <c r="O175" s="348" t="s">
        <v>280</v>
      </c>
      <c r="P175" s="349" t="s">
        <v>79</v>
      </c>
      <c r="Q175" s="516"/>
      <c r="R175" s="467"/>
      <c r="S175" s="517"/>
      <c r="T175" s="517"/>
      <c r="U175" s="171" t="str">
        <f>IF(ISERROR(VLOOKUP($T175, 'Reference data'!$J$2:$K$139, 2, FALSE)),"-",VLOOKUP($T175, 'Reference data'!$J$2:$K$139, 2, FALSE))</f>
        <v>-</v>
      </c>
      <c r="V175" s="147"/>
      <c r="W175" s="147"/>
      <c r="X175" s="471"/>
      <c r="Y175" s="472"/>
      <c r="Z175" s="352"/>
      <c r="AA175" s="520"/>
      <c r="AB175" s="163"/>
      <c r="AC175" s="148"/>
      <c r="AD175" s="145"/>
      <c r="AE175" s="348" t="s">
        <v>280</v>
      </c>
      <c r="AF175" s="354" t="s">
        <v>79</v>
      </c>
    </row>
    <row r="176" spans="2:32">
      <c r="B176" s="514" t="str">
        <f>IF(AND(Validator!J670=TRUE,Validator!J170=TRUE,Validator!J420,Validator!J420=TRUE,Validator!J920=TRUE,Validator!J1170=TRUE,Validator!J1420=TRUE),"Valid","Invalid")</f>
        <v>Valid</v>
      </c>
      <c r="C176" s="144"/>
      <c r="D176" s="364"/>
      <c r="E176" s="145"/>
      <c r="F176" s="580"/>
      <c r="G176" s="309"/>
      <c r="H176" s="580"/>
      <c r="I176" s="296"/>
      <c r="J176" s="376"/>
      <c r="K176" s="146"/>
      <c r="L176" s="539"/>
      <c r="M176" s="469"/>
      <c r="N176" s="373"/>
      <c r="O176" s="348" t="s">
        <v>280</v>
      </c>
      <c r="P176" s="349" t="s">
        <v>79</v>
      </c>
      <c r="Q176" s="516"/>
      <c r="R176" s="467"/>
      <c r="S176" s="517"/>
      <c r="T176" s="517"/>
      <c r="U176" s="171" t="str">
        <f>IF(ISERROR(VLOOKUP($T176, 'Reference data'!$J$2:$K$139, 2, FALSE)),"-",VLOOKUP($T176, 'Reference data'!$J$2:$K$139, 2, FALSE))</f>
        <v>-</v>
      </c>
      <c r="V176" s="147"/>
      <c r="W176" s="147"/>
      <c r="X176" s="471"/>
      <c r="Y176" s="472"/>
      <c r="Z176" s="352"/>
      <c r="AA176" s="520"/>
      <c r="AB176" s="163"/>
      <c r="AC176" s="148"/>
      <c r="AD176" s="145"/>
      <c r="AE176" s="348" t="s">
        <v>280</v>
      </c>
      <c r="AF176" s="354" t="s">
        <v>79</v>
      </c>
    </row>
    <row r="177" spans="2:32">
      <c r="B177" s="514" t="str">
        <f>IF(AND(Validator!J671=TRUE,Validator!J171=TRUE,Validator!J421,Validator!J421=TRUE,Validator!J921=TRUE,Validator!J1171=TRUE,Validator!J1421=TRUE),"Valid","Invalid")</f>
        <v>Valid</v>
      </c>
      <c r="C177" s="144"/>
      <c r="D177" s="364"/>
      <c r="E177" s="145"/>
      <c r="F177" s="580"/>
      <c r="G177" s="309"/>
      <c r="H177" s="580"/>
      <c r="I177" s="296"/>
      <c r="J177" s="376"/>
      <c r="K177" s="146"/>
      <c r="L177" s="539"/>
      <c r="M177" s="469"/>
      <c r="N177" s="373"/>
      <c r="O177" s="348" t="s">
        <v>280</v>
      </c>
      <c r="P177" s="349" t="s">
        <v>79</v>
      </c>
      <c r="Q177" s="516"/>
      <c r="R177" s="467"/>
      <c r="S177" s="517"/>
      <c r="T177" s="517"/>
      <c r="U177" s="171" t="str">
        <f>IF(ISERROR(VLOOKUP($T177, 'Reference data'!$J$2:$K$139, 2, FALSE)),"-",VLOOKUP($T177, 'Reference data'!$J$2:$K$139, 2, FALSE))</f>
        <v>-</v>
      </c>
      <c r="V177" s="147"/>
      <c r="W177" s="147"/>
      <c r="X177" s="471"/>
      <c r="Y177" s="472"/>
      <c r="Z177" s="352"/>
      <c r="AA177" s="520"/>
      <c r="AB177" s="163"/>
      <c r="AC177" s="148"/>
      <c r="AD177" s="145"/>
      <c r="AE177" s="348" t="s">
        <v>280</v>
      </c>
      <c r="AF177" s="354" t="s">
        <v>79</v>
      </c>
    </row>
    <row r="178" spans="2:32">
      <c r="B178" s="514" t="str">
        <f>IF(AND(Validator!J672=TRUE,Validator!J172=TRUE,Validator!J422,Validator!J422=TRUE,Validator!J922=TRUE,Validator!J1172=TRUE,Validator!J1422=TRUE),"Valid","Invalid")</f>
        <v>Valid</v>
      </c>
      <c r="C178" s="144"/>
      <c r="D178" s="364"/>
      <c r="E178" s="145"/>
      <c r="F178" s="580"/>
      <c r="G178" s="309"/>
      <c r="H178" s="580"/>
      <c r="I178" s="296"/>
      <c r="J178" s="376"/>
      <c r="K178" s="146"/>
      <c r="L178" s="539"/>
      <c r="M178" s="469"/>
      <c r="N178" s="373"/>
      <c r="O178" s="348" t="s">
        <v>280</v>
      </c>
      <c r="P178" s="349" t="s">
        <v>79</v>
      </c>
      <c r="Q178" s="516"/>
      <c r="R178" s="467"/>
      <c r="S178" s="517"/>
      <c r="T178" s="517"/>
      <c r="U178" s="171" t="str">
        <f>IF(ISERROR(VLOOKUP($T178, 'Reference data'!$J$2:$K$139, 2, FALSE)),"-",VLOOKUP($T178, 'Reference data'!$J$2:$K$139, 2, FALSE))</f>
        <v>-</v>
      </c>
      <c r="V178" s="147"/>
      <c r="W178" s="147"/>
      <c r="X178" s="471"/>
      <c r="Y178" s="472"/>
      <c r="Z178" s="352"/>
      <c r="AA178" s="520"/>
      <c r="AB178" s="163"/>
      <c r="AC178" s="148"/>
      <c r="AD178" s="145"/>
      <c r="AE178" s="348" t="s">
        <v>280</v>
      </c>
      <c r="AF178" s="354" t="s">
        <v>79</v>
      </c>
    </row>
    <row r="179" spans="2:32">
      <c r="B179" s="514" t="str">
        <f>IF(AND(Validator!J673=TRUE,Validator!J173=TRUE,Validator!J423,Validator!J423=TRUE,Validator!J923=TRUE,Validator!J1173=TRUE,Validator!J1423=TRUE),"Valid","Invalid")</f>
        <v>Valid</v>
      </c>
      <c r="C179" s="144"/>
      <c r="D179" s="364"/>
      <c r="E179" s="145"/>
      <c r="F179" s="580"/>
      <c r="G179" s="309"/>
      <c r="H179" s="580"/>
      <c r="I179" s="296"/>
      <c r="J179" s="376"/>
      <c r="K179" s="146"/>
      <c r="L179" s="539"/>
      <c r="M179" s="469"/>
      <c r="N179" s="373"/>
      <c r="O179" s="348" t="s">
        <v>280</v>
      </c>
      <c r="P179" s="349" t="s">
        <v>79</v>
      </c>
      <c r="Q179" s="516"/>
      <c r="R179" s="467"/>
      <c r="S179" s="517"/>
      <c r="T179" s="517"/>
      <c r="U179" s="171" t="str">
        <f>IF(ISERROR(VLOOKUP($T179, 'Reference data'!$J$2:$K$139, 2, FALSE)),"-",VLOOKUP($T179, 'Reference data'!$J$2:$K$139, 2, FALSE))</f>
        <v>-</v>
      </c>
      <c r="V179" s="147"/>
      <c r="W179" s="147"/>
      <c r="X179" s="471"/>
      <c r="Y179" s="472"/>
      <c r="Z179" s="352"/>
      <c r="AA179" s="520"/>
      <c r="AB179" s="163"/>
      <c r="AC179" s="148"/>
      <c r="AD179" s="145"/>
      <c r="AE179" s="348" t="s">
        <v>280</v>
      </c>
      <c r="AF179" s="354" t="s">
        <v>79</v>
      </c>
    </row>
    <row r="180" spans="2:32">
      <c r="B180" s="514" t="str">
        <f>IF(AND(Validator!J674=TRUE,Validator!J174=TRUE,Validator!J424,Validator!J424=TRUE,Validator!J924=TRUE,Validator!J1174=TRUE,Validator!J1424=TRUE),"Valid","Invalid")</f>
        <v>Valid</v>
      </c>
      <c r="C180" s="144"/>
      <c r="D180" s="364"/>
      <c r="E180" s="145"/>
      <c r="F180" s="580"/>
      <c r="G180" s="309"/>
      <c r="H180" s="580"/>
      <c r="I180" s="296"/>
      <c r="J180" s="376"/>
      <c r="K180" s="146"/>
      <c r="L180" s="539"/>
      <c r="M180" s="469"/>
      <c r="N180" s="373"/>
      <c r="O180" s="348" t="s">
        <v>280</v>
      </c>
      <c r="P180" s="349" t="s">
        <v>79</v>
      </c>
      <c r="Q180" s="516"/>
      <c r="R180" s="467"/>
      <c r="S180" s="517"/>
      <c r="T180" s="517"/>
      <c r="U180" s="171" t="str">
        <f>IF(ISERROR(VLOOKUP($T180, 'Reference data'!$J$2:$K$139, 2, FALSE)),"-",VLOOKUP($T180, 'Reference data'!$J$2:$K$139, 2, FALSE))</f>
        <v>-</v>
      </c>
      <c r="V180" s="147"/>
      <c r="W180" s="147"/>
      <c r="X180" s="471"/>
      <c r="Y180" s="472"/>
      <c r="Z180" s="352"/>
      <c r="AA180" s="520"/>
      <c r="AB180" s="163"/>
      <c r="AC180" s="148"/>
      <c r="AD180" s="145"/>
      <c r="AE180" s="348" t="s">
        <v>280</v>
      </c>
      <c r="AF180" s="354" t="s">
        <v>79</v>
      </c>
    </row>
    <row r="181" spans="2:32">
      <c r="B181" s="514" t="str">
        <f>IF(AND(Validator!J675=TRUE,Validator!J175=TRUE,Validator!J425,Validator!J425=TRUE,Validator!J925=TRUE,Validator!J1175=TRUE,Validator!J1425=TRUE),"Valid","Invalid")</f>
        <v>Valid</v>
      </c>
      <c r="C181" s="144"/>
      <c r="D181" s="364"/>
      <c r="E181" s="145"/>
      <c r="F181" s="580"/>
      <c r="G181" s="309"/>
      <c r="H181" s="580"/>
      <c r="I181" s="296"/>
      <c r="J181" s="376"/>
      <c r="K181" s="146"/>
      <c r="L181" s="539"/>
      <c r="M181" s="469"/>
      <c r="N181" s="373"/>
      <c r="O181" s="348" t="s">
        <v>280</v>
      </c>
      <c r="P181" s="349" t="s">
        <v>79</v>
      </c>
      <c r="Q181" s="516"/>
      <c r="R181" s="467"/>
      <c r="S181" s="517"/>
      <c r="T181" s="517"/>
      <c r="U181" s="171" t="str">
        <f>IF(ISERROR(VLOOKUP($T181, 'Reference data'!$J$2:$K$139, 2, FALSE)),"-",VLOOKUP($T181, 'Reference data'!$J$2:$K$139, 2, FALSE))</f>
        <v>-</v>
      </c>
      <c r="V181" s="147"/>
      <c r="W181" s="147"/>
      <c r="X181" s="471"/>
      <c r="Y181" s="472"/>
      <c r="Z181" s="352"/>
      <c r="AA181" s="520"/>
      <c r="AB181" s="163"/>
      <c r="AC181" s="148"/>
      <c r="AD181" s="145"/>
      <c r="AE181" s="348" t="s">
        <v>280</v>
      </c>
      <c r="AF181" s="354" t="s">
        <v>79</v>
      </c>
    </row>
    <row r="182" spans="2:32">
      <c r="B182" s="514" t="str">
        <f>IF(AND(Validator!J676=TRUE,Validator!J176=TRUE,Validator!J426,Validator!J426=TRUE,Validator!J926=TRUE,Validator!J1176=TRUE,Validator!J1426=TRUE),"Valid","Invalid")</f>
        <v>Valid</v>
      </c>
      <c r="C182" s="144"/>
      <c r="D182" s="364"/>
      <c r="E182" s="145"/>
      <c r="F182" s="580"/>
      <c r="G182" s="309"/>
      <c r="H182" s="580"/>
      <c r="I182" s="296"/>
      <c r="J182" s="376"/>
      <c r="K182" s="146"/>
      <c r="L182" s="539"/>
      <c r="M182" s="469"/>
      <c r="N182" s="373"/>
      <c r="O182" s="348" t="s">
        <v>280</v>
      </c>
      <c r="P182" s="349" t="s">
        <v>79</v>
      </c>
      <c r="Q182" s="516"/>
      <c r="R182" s="467"/>
      <c r="S182" s="517"/>
      <c r="T182" s="517"/>
      <c r="U182" s="171" t="str">
        <f>IF(ISERROR(VLOOKUP($T182, 'Reference data'!$J$2:$K$139, 2, FALSE)),"-",VLOOKUP($T182, 'Reference data'!$J$2:$K$139, 2, FALSE))</f>
        <v>-</v>
      </c>
      <c r="V182" s="147"/>
      <c r="W182" s="147"/>
      <c r="X182" s="471"/>
      <c r="Y182" s="472"/>
      <c r="Z182" s="352"/>
      <c r="AA182" s="520"/>
      <c r="AB182" s="163"/>
      <c r="AC182" s="148"/>
      <c r="AD182" s="145"/>
      <c r="AE182" s="348" t="s">
        <v>280</v>
      </c>
      <c r="AF182" s="354" t="s">
        <v>79</v>
      </c>
    </row>
    <row r="183" spans="2:32">
      <c r="B183" s="514" t="str">
        <f>IF(AND(Validator!J677=TRUE,Validator!J177=TRUE,Validator!J427,Validator!J427=TRUE,Validator!J927=TRUE,Validator!J1177=TRUE,Validator!J1427=TRUE),"Valid","Invalid")</f>
        <v>Valid</v>
      </c>
      <c r="C183" s="144"/>
      <c r="D183" s="364"/>
      <c r="E183" s="145"/>
      <c r="F183" s="580"/>
      <c r="G183" s="309"/>
      <c r="H183" s="580"/>
      <c r="I183" s="296"/>
      <c r="J183" s="376"/>
      <c r="K183" s="146"/>
      <c r="L183" s="539"/>
      <c r="M183" s="469"/>
      <c r="N183" s="373"/>
      <c r="O183" s="348" t="s">
        <v>280</v>
      </c>
      <c r="P183" s="349" t="s">
        <v>79</v>
      </c>
      <c r="Q183" s="516"/>
      <c r="R183" s="467"/>
      <c r="S183" s="517"/>
      <c r="T183" s="517"/>
      <c r="U183" s="171" t="str">
        <f>IF(ISERROR(VLOOKUP($T183, 'Reference data'!$J$2:$K$139, 2, FALSE)),"-",VLOOKUP($T183, 'Reference data'!$J$2:$K$139, 2, FALSE))</f>
        <v>-</v>
      </c>
      <c r="V183" s="147"/>
      <c r="W183" s="147"/>
      <c r="X183" s="471"/>
      <c r="Y183" s="472"/>
      <c r="Z183" s="352"/>
      <c r="AA183" s="520"/>
      <c r="AB183" s="163"/>
      <c r="AC183" s="148"/>
      <c r="AD183" s="145"/>
      <c r="AE183" s="348" t="s">
        <v>280</v>
      </c>
      <c r="AF183" s="354" t="s">
        <v>79</v>
      </c>
    </row>
    <row r="184" spans="2:32">
      <c r="B184" s="514" t="str">
        <f>IF(AND(Validator!J678=TRUE,Validator!J178=TRUE,Validator!J428,Validator!J428=TRUE,Validator!J928=TRUE,Validator!J1178=TRUE,Validator!J1428=TRUE),"Valid","Invalid")</f>
        <v>Valid</v>
      </c>
      <c r="C184" s="144"/>
      <c r="D184" s="364"/>
      <c r="E184" s="145"/>
      <c r="F184" s="580"/>
      <c r="G184" s="309"/>
      <c r="H184" s="580"/>
      <c r="I184" s="296"/>
      <c r="J184" s="376"/>
      <c r="K184" s="146"/>
      <c r="L184" s="539"/>
      <c r="M184" s="469"/>
      <c r="N184" s="373"/>
      <c r="O184" s="348" t="s">
        <v>280</v>
      </c>
      <c r="P184" s="349" t="s">
        <v>79</v>
      </c>
      <c r="Q184" s="516"/>
      <c r="R184" s="467"/>
      <c r="S184" s="517"/>
      <c r="T184" s="517"/>
      <c r="U184" s="171" t="str">
        <f>IF(ISERROR(VLOOKUP($T184, 'Reference data'!$J$2:$K$139, 2, FALSE)),"-",VLOOKUP($T184, 'Reference data'!$J$2:$K$139, 2, FALSE))</f>
        <v>-</v>
      </c>
      <c r="V184" s="147"/>
      <c r="W184" s="147"/>
      <c r="X184" s="471"/>
      <c r="Y184" s="472"/>
      <c r="Z184" s="352"/>
      <c r="AA184" s="520"/>
      <c r="AB184" s="163"/>
      <c r="AC184" s="148"/>
      <c r="AD184" s="145"/>
      <c r="AE184" s="348" t="s">
        <v>280</v>
      </c>
      <c r="AF184" s="354" t="s">
        <v>79</v>
      </c>
    </row>
    <row r="185" spans="2:32">
      <c r="B185" s="514" t="str">
        <f>IF(AND(Validator!J679=TRUE,Validator!J179=TRUE,Validator!J429,Validator!J429=TRUE,Validator!J929=TRUE,Validator!J1179=TRUE,Validator!J1429=TRUE),"Valid","Invalid")</f>
        <v>Valid</v>
      </c>
      <c r="C185" s="144"/>
      <c r="D185" s="364"/>
      <c r="E185" s="145"/>
      <c r="F185" s="580"/>
      <c r="G185" s="309"/>
      <c r="H185" s="580"/>
      <c r="I185" s="296"/>
      <c r="J185" s="376"/>
      <c r="K185" s="146"/>
      <c r="L185" s="539"/>
      <c r="M185" s="469"/>
      <c r="N185" s="373"/>
      <c r="O185" s="348" t="s">
        <v>280</v>
      </c>
      <c r="P185" s="349" t="s">
        <v>79</v>
      </c>
      <c r="Q185" s="516"/>
      <c r="R185" s="467"/>
      <c r="S185" s="517"/>
      <c r="T185" s="517"/>
      <c r="U185" s="171" t="str">
        <f>IF(ISERROR(VLOOKUP($T185, 'Reference data'!$J$2:$K$139, 2, FALSE)),"-",VLOOKUP($T185, 'Reference data'!$J$2:$K$139, 2, FALSE))</f>
        <v>-</v>
      </c>
      <c r="V185" s="147"/>
      <c r="W185" s="147"/>
      <c r="X185" s="471"/>
      <c r="Y185" s="472"/>
      <c r="Z185" s="352"/>
      <c r="AA185" s="520"/>
      <c r="AB185" s="163"/>
      <c r="AC185" s="148"/>
      <c r="AD185" s="145"/>
      <c r="AE185" s="348" t="s">
        <v>280</v>
      </c>
      <c r="AF185" s="354" t="s">
        <v>79</v>
      </c>
    </row>
    <row r="186" spans="2:32">
      <c r="B186" s="514" t="str">
        <f>IF(AND(Validator!J680=TRUE,Validator!J180=TRUE,Validator!J430,Validator!J430=TRUE,Validator!J930=TRUE,Validator!J1180=TRUE,Validator!J1430=TRUE),"Valid","Invalid")</f>
        <v>Valid</v>
      </c>
      <c r="C186" s="144"/>
      <c r="D186" s="364"/>
      <c r="E186" s="145"/>
      <c r="F186" s="580"/>
      <c r="G186" s="309"/>
      <c r="H186" s="580"/>
      <c r="I186" s="296"/>
      <c r="J186" s="376"/>
      <c r="K186" s="146"/>
      <c r="L186" s="539"/>
      <c r="M186" s="469"/>
      <c r="N186" s="373"/>
      <c r="O186" s="348" t="s">
        <v>280</v>
      </c>
      <c r="P186" s="349" t="s">
        <v>79</v>
      </c>
      <c r="Q186" s="516"/>
      <c r="R186" s="467"/>
      <c r="S186" s="517"/>
      <c r="T186" s="517"/>
      <c r="U186" s="171" t="str">
        <f>IF(ISERROR(VLOOKUP($T186, 'Reference data'!$J$2:$K$139, 2, FALSE)),"-",VLOOKUP($T186, 'Reference data'!$J$2:$K$139, 2, FALSE))</f>
        <v>-</v>
      </c>
      <c r="V186" s="147"/>
      <c r="W186" s="147"/>
      <c r="X186" s="471"/>
      <c r="Y186" s="472"/>
      <c r="Z186" s="352"/>
      <c r="AA186" s="520"/>
      <c r="AB186" s="163"/>
      <c r="AC186" s="148"/>
      <c r="AD186" s="145"/>
      <c r="AE186" s="348" t="s">
        <v>280</v>
      </c>
      <c r="AF186" s="354" t="s">
        <v>79</v>
      </c>
    </row>
    <row r="187" spans="2:32">
      <c r="B187" s="514" t="str">
        <f>IF(AND(Validator!J681=TRUE,Validator!J181=TRUE,Validator!J431,Validator!J431=TRUE,Validator!J931=TRUE,Validator!J1181=TRUE,Validator!J1431=TRUE),"Valid","Invalid")</f>
        <v>Valid</v>
      </c>
      <c r="C187" s="144"/>
      <c r="D187" s="364"/>
      <c r="E187" s="145"/>
      <c r="F187" s="580"/>
      <c r="G187" s="309"/>
      <c r="H187" s="580"/>
      <c r="I187" s="296"/>
      <c r="J187" s="376"/>
      <c r="K187" s="146"/>
      <c r="L187" s="539"/>
      <c r="M187" s="469"/>
      <c r="N187" s="373"/>
      <c r="O187" s="348" t="s">
        <v>280</v>
      </c>
      <c r="P187" s="349" t="s">
        <v>79</v>
      </c>
      <c r="Q187" s="516"/>
      <c r="R187" s="467"/>
      <c r="S187" s="517"/>
      <c r="T187" s="517"/>
      <c r="U187" s="171" t="str">
        <f>IF(ISERROR(VLOOKUP($T187, 'Reference data'!$J$2:$K$139, 2, FALSE)),"-",VLOOKUP($T187, 'Reference data'!$J$2:$K$139, 2, FALSE))</f>
        <v>-</v>
      </c>
      <c r="V187" s="147"/>
      <c r="W187" s="147"/>
      <c r="X187" s="471"/>
      <c r="Y187" s="472"/>
      <c r="Z187" s="352"/>
      <c r="AA187" s="520"/>
      <c r="AB187" s="163"/>
      <c r="AC187" s="148"/>
      <c r="AD187" s="145"/>
      <c r="AE187" s="348" t="s">
        <v>280</v>
      </c>
      <c r="AF187" s="354" t="s">
        <v>79</v>
      </c>
    </row>
    <row r="188" spans="2:32">
      <c r="B188" s="514" t="str">
        <f>IF(AND(Validator!J682=TRUE,Validator!J182=TRUE,Validator!J432,Validator!J432=TRUE,Validator!J932=TRUE,Validator!J1182=TRUE,Validator!J1432=TRUE),"Valid","Invalid")</f>
        <v>Valid</v>
      </c>
      <c r="C188" s="144"/>
      <c r="D188" s="364"/>
      <c r="E188" s="145"/>
      <c r="F188" s="580"/>
      <c r="G188" s="309"/>
      <c r="H188" s="580"/>
      <c r="I188" s="296"/>
      <c r="J188" s="376"/>
      <c r="K188" s="146"/>
      <c r="L188" s="539"/>
      <c r="M188" s="469"/>
      <c r="N188" s="373"/>
      <c r="O188" s="348" t="s">
        <v>280</v>
      </c>
      <c r="P188" s="349" t="s">
        <v>79</v>
      </c>
      <c r="Q188" s="516"/>
      <c r="R188" s="467"/>
      <c r="S188" s="517"/>
      <c r="T188" s="517"/>
      <c r="U188" s="171" t="str">
        <f>IF(ISERROR(VLOOKUP($T188, 'Reference data'!$J$2:$K$139, 2, FALSE)),"-",VLOOKUP($T188, 'Reference data'!$J$2:$K$139, 2, FALSE))</f>
        <v>-</v>
      </c>
      <c r="V188" s="147"/>
      <c r="W188" s="147"/>
      <c r="X188" s="471"/>
      <c r="Y188" s="472"/>
      <c r="Z188" s="352"/>
      <c r="AA188" s="520"/>
      <c r="AB188" s="163"/>
      <c r="AC188" s="148"/>
      <c r="AD188" s="145"/>
      <c r="AE188" s="348" t="s">
        <v>280</v>
      </c>
      <c r="AF188" s="354" t="s">
        <v>79</v>
      </c>
    </row>
    <row r="189" spans="2:32">
      <c r="B189" s="514" t="str">
        <f>IF(AND(Validator!J683=TRUE,Validator!J183=TRUE,Validator!J433,Validator!J433=TRUE,Validator!J933=TRUE,Validator!J1183=TRUE,Validator!J1433=TRUE),"Valid","Invalid")</f>
        <v>Valid</v>
      </c>
      <c r="C189" s="144"/>
      <c r="D189" s="364"/>
      <c r="E189" s="145"/>
      <c r="F189" s="580"/>
      <c r="G189" s="309"/>
      <c r="H189" s="580"/>
      <c r="I189" s="296"/>
      <c r="J189" s="376"/>
      <c r="K189" s="146"/>
      <c r="L189" s="539"/>
      <c r="M189" s="469"/>
      <c r="N189" s="373"/>
      <c r="O189" s="348" t="s">
        <v>280</v>
      </c>
      <c r="P189" s="349" t="s">
        <v>79</v>
      </c>
      <c r="Q189" s="516"/>
      <c r="R189" s="467"/>
      <c r="S189" s="517"/>
      <c r="T189" s="517"/>
      <c r="U189" s="171" t="str">
        <f>IF(ISERROR(VLOOKUP($T189, 'Reference data'!$J$2:$K$139, 2, FALSE)),"-",VLOOKUP($T189, 'Reference data'!$J$2:$K$139, 2, FALSE))</f>
        <v>-</v>
      </c>
      <c r="V189" s="147"/>
      <c r="W189" s="147"/>
      <c r="X189" s="471"/>
      <c r="Y189" s="472"/>
      <c r="Z189" s="352"/>
      <c r="AA189" s="520"/>
      <c r="AB189" s="163"/>
      <c r="AC189" s="148"/>
      <c r="AD189" s="145"/>
      <c r="AE189" s="348" t="s">
        <v>280</v>
      </c>
      <c r="AF189" s="354" t="s">
        <v>79</v>
      </c>
    </row>
    <row r="190" spans="2:32">
      <c r="B190" s="514" t="str">
        <f>IF(AND(Validator!J684=TRUE,Validator!J184=TRUE,Validator!J434,Validator!J434=TRUE,Validator!J934=TRUE,Validator!J1184=TRUE,Validator!J1434=TRUE),"Valid","Invalid")</f>
        <v>Valid</v>
      </c>
      <c r="C190" s="144"/>
      <c r="D190" s="364"/>
      <c r="E190" s="145"/>
      <c r="F190" s="580"/>
      <c r="G190" s="309"/>
      <c r="H190" s="580"/>
      <c r="I190" s="296"/>
      <c r="J190" s="376"/>
      <c r="K190" s="146"/>
      <c r="L190" s="539"/>
      <c r="M190" s="469"/>
      <c r="N190" s="373"/>
      <c r="O190" s="348" t="s">
        <v>280</v>
      </c>
      <c r="P190" s="349" t="s">
        <v>79</v>
      </c>
      <c r="Q190" s="516"/>
      <c r="R190" s="467"/>
      <c r="S190" s="517"/>
      <c r="T190" s="517"/>
      <c r="U190" s="171" t="str">
        <f>IF(ISERROR(VLOOKUP($T190, 'Reference data'!$J$2:$K$139, 2, FALSE)),"-",VLOOKUP($T190, 'Reference data'!$J$2:$K$139, 2, FALSE))</f>
        <v>-</v>
      </c>
      <c r="V190" s="147"/>
      <c r="W190" s="147"/>
      <c r="X190" s="471"/>
      <c r="Y190" s="472"/>
      <c r="Z190" s="352"/>
      <c r="AA190" s="520"/>
      <c r="AB190" s="163"/>
      <c r="AC190" s="148"/>
      <c r="AD190" s="145"/>
      <c r="AE190" s="348" t="s">
        <v>280</v>
      </c>
      <c r="AF190" s="354" t="s">
        <v>79</v>
      </c>
    </row>
    <row r="191" spans="2:32">
      <c r="B191" s="514" t="str">
        <f>IF(AND(Validator!J685=TRUE,Validator!J185=TRUE,Validator!J435,Validator!J435=TRUE,Validator!J935=TRUE,Validator!J1185=TRUE,Validator!J1435=TRUE),"Valid","Invalid")</f>
        <v>Valid</v>
      </c>
      <c r="C191" s="144"/>
      <c r="D191" s="364"/>
      <c r="E191" s="145"/>
      <c r="F191" s="580"/>
      <c r="G191" s="309"/>
      <c r="H191" s="580"/>
      <c r="I191" s="296"/>
      <c r="J191" s="376"/>
      <c r="K191" s="146"/>
      <c r="L191" s="539"/>
      <c r="M191" s="469"/>
      <c r="N191" s="373"/>
      <c r="O191" s="348" t="s">
        <v>280</v>
      </c>
      <c r="P191" s="349" t="s">
        <v>79</v>
      </c>
      <c r="Q191" s="516"/>
      <c r="R191" s="467"/>
      <c r="S191" s="517"/>
      <c r="T191" s="517"/>
      <c r="U191" s="171" t="str">
        <f>IF(ISERROR(VLOOKUP($T191, 'Reference data'!$J$2:$K$139, 2, FALSE)),"-",VLOOKUP($T191, 'Reference data'!$J$2:$K$139, 2, FALSE))</f>
        <v>-</v>
      </c>
      <c r="V191" s="147"/>
      <c r="W191" s="147"/>
      <c r="X191" s="471"/>
      <c r="Y191" s="472"/>
      <c r="Z191" s="352"/>
      <c r="AA191" s="520"/>
      <c r="AB191" s="163"/>
      <c r="AC191" s="148"/>
      <c r="AD191" s="145"/>
      <c r="AE191" s="348" t="s">
        <v>280</v>
      </c>
      <c r="AF191" s="354" t="s">
        <v>79</v>
      </c>
    </row>
    <row r="192" spans="2:32">
      <c r="B192" s="514" t="str">
        <f>IF(AND(Validator!J686=TRUE,Validator!J186=TRUE,Validator!J436,Validator!J436=TRUE,Validator!J936=TRUE,Validator!J1186=TRUE,Validator!J1436=TRUE),"Valid","Invalid")</f>
        <v>Valid</v>
      </c>
      <c r="C192" s="144"/>
      <c r="D192" s="364"/>
      <c r="E192" s="145"/>
      <c r="F192" s="580"/>
      <c r="G192" s="309"/>
      <c r="H192" s="580"/>
      <c r="I192" s="296"/>
      <c r="J192" s="376"/>
      <c r="K192" s="146"/>
      <c r="L192" s="539"/>
      <c r="M192" s="469"/>
      <c r="N192" s="373"/>
      <c r="O192" s="348" t="s">
        <v>280</v>
      </c>
      <c r="P192" s="349" t="s">
        <v>79</v>
      </c>
      <c r="Q192" s="516"/>
      <c r="R192" s="467"/>
      <c r="S192" s="517"/>
      <c r="T192" s="517"/>
      <c r="U192" s="171" t="str">
        <f>IF(ISERROR(VLOOKUP($T192, 'Reference data'!$J$2:$K$139, 2, FALSE)),"-",VLOOKUP($T192, 'Reference data'!$J$2:$K$139, 2, FALSE))</f>
        <v>-</v>
      </c>
      <c r="V192" s="147"/>
      <c r="W192" s="147"/>
      <c r="X192" s="471"/>
      <c r="Y192" s="472"/>
      <c r="Z192" s="352"/>
      <c r="AA192" s="520"/>
      <c r="AB192" s="163"/>
      <c r="AC192" s="148"/>
      <c r="AD192" s="145"/>
      <c r="AE192" s="348" t="s">
        <v>280</v>
      </c>
      <c r="AF192" s="354" t="s">
        <v>79</v>
      </c>
    </row>
    <row r="193" spans="2:32">
      <c r="B193" s="514" t="str">
        <f>IF(AND(Validator!J687=TRUE,Validator!J187=TRUE,Validator!J437,Validator!J437=TRUE,Validator!J937=TRUE,Validator!J1187=TRUE,Validator!J1437=TRUE),"Valid","Invalid")</f>
        <v>Valid</v>
      </c>
      <c r="C193" s="144"/>
      <c r="D193" s="364"/>
      <c r="E193" s="145"/>
      <c r="F193" s="580"/>
      <c r="G193" s="309"/>
      <c r="H193" s="580"/>
      <c r="I193" s="296"/>
      <c r="J193" s="376"/>
      <c r="K193" s="146"/>
      <c r="L193" s="539"/>
      <c r="M193" s="469"/>
      <c r="N193" s="373"/>
      <c r="O193" s="348" t="s">
        <v>280</v>
      </c>
      <c r="P193" s="349" t="s">
        <v>79</v>
      </c>
      <c r="Q193" s="516"/>
      <c r="R193" s="467"/>
      <c r="S193" s="517"/>
      <c r="T193" s="517"/>
      <c r="U193" s="171" t="str">
        <f>IF(ISERROR(VLOOKUP($T193, 'Reference data'!$J$2:$K$139, 2, FALSE)),"-",VLOOKUP($T193, 'Reference data'!$J$2:$K$139, 2, FALSE))</f>
        <v>-</v>
      </c>
      <c r="V193" s="147"/>
      <c r="W193" s="147"/>
      <c r="X193" s="471"/>
      <c r="Y193" s="472"/>
      <c r="Z193" s="352"/>
      <c r="AA193" s="520"/>
      <c r="AB193" s="163"/>
      <c r="AC193" s="148"/>
      <c r="AD193" s="145"/>
      <c r="AE193" s="348" t="s">
        <v>280</v>
      </c>
      <c r="AF193" s="354" t="s">
        <v>79</v>
      </c>
    </row>
    <row r="194" spans="2:32">
      <c r="B194" s="514" t="str">
        <f>IF(AND(Validator!J688=TRUE,Validator!J188=TRUE,Validator!J438,Validator!J438=TRUE,Validator!J938=TRUE,Validator!J1188=TRUE,Validator!J1438=TRUE),"Valid","Invalid")</f>
        <v>Valid</v>
      </c>
      <c r="C194" s="144"/>
      <c r="D194" s="364"/>
      <c r="E194" s="145"/>
      <c r="F194" s="580"/>
      <c r="G194" s="309"/>
      <c r="H194" s="580"/>
      <c r="I194" s="296"/>
      <c r="J194" s="376"/>
      <c r="K194" s="146"/>
      <c r="L194" s="539"/>
      <c r="M194" s="469"/>
      <c r="N194" s="373"/>
      <c r="O194" s="348" t="s">
        <v>280</v>
      </c>
      <c r="P194" s="349" t="s">
        <v>79</v>
      </c>
      <c r="Q194" s="516"/>
      <c r="R194" s="467"/>
      <c r="S194" s="517"/>
      <c r="T194" s="517"/>
      <c r="U194" s="171" t="str">
        <f>IF(ISERROR(VLOOKUP($T194, 'Reference data'!$J$2:$K$139, 2, FALSE)),"-",VLOOKUP($T194, 'Reference data'!$J$2:$K$139, 2, FALSE))</f>
        <v>-</v>
      </c>
      <c r="V194" s="147"/>
      <c r="W194" s="147"/>
      <c r="X194" s="471"/>
      <c r="Y194" s="472"/>
      <c r="Z194" s="352"/>
      <c r="AA194" s="520"/>
      <c r="AB194" s="163"/>
      <c r="AC194" s="148"/>
      <c r="AD194" s="145"/>
      <c r="AE194" s="348" t="s">
        <v>280</v>
      </c>
      <c r="AF194" s="354" t="s">
        <v>79</v>
      </c>
    </row>
    <row r="195" spans="2:32">
      <c r="B195" s="514" t="str">
        <f>IF(AND(Validator!J689=TRUE,Validator!J189=TRUE,Validator!J439,Validator!J439=TRUE,Validator!J939=TRUE,Validator!J1189=TRUE,Validator!J1439=TRUE),"Valid","Invalid")</f>
        <v>Valid</v>
      </c>
      <c r="C195" s="144"/>
      <c r="D195" s="364"/>
      <c r="E195" s="145"/>
      <c r="F195" s="580"/>
      <c r="G195" s="309"/>
      <c r="H195" s="580"/>
      <c r="I195" s="296"/>
      <c r="J195" s="376"/>
      <c r="K195" s="146"/>
      <c r="L195" s="539"/>
      <c r="M195" s="469"/>
      <c r="N195" s="373"/>
      <c r="O195" s="348" t="s">
        <v>280</v>
      </c>
      <c r="P195" s="349" t="s">
        <v>79</v>
      </c>
      <c r="Q195" s="516"/>
      <c r="R195" s="467"/>
      <c r="S195" s="517"/>
      <c r="T195" s="517"/>
      <c r="U195" s="171" t="str">
        <f>IF(ISERROR(VLOOKUP($T195, 'Reference data'!$J$2:$K$139, 2, FALSE)),"-",VLOOKUP($T195, 'Reference data'!$J$2:$K$139, 2, FALSE))</f>
        <v>-</v>
      </c>
      <c r="V195" s="147"/>
      <c r="W195" s="147"/>
      <c r="X195" s="471"/>
      <c r="Y195" s="472"/>
      <c r="Z195" s="352"/>
      <c r="AA195" s="520"/>
      <c r="AB195" s="163"/>
      <c r="AC195" s="148"/>
      <c r="AD195" s="145"/>
      <c r="AE195" s="348" t="s">
        <v>280</v>
      </c>
      <c r="AF195" s="354" t="s">
        <v>79</v>
      </c>
    </row>
    <row r="196" spans="2:32">
      <c r="B196" s="514" t="str">
        <f>IF(AND(Validator!J690=TRUE,Validator!J190=TRUE,Validator!J440,Validator!J440=TRUE,Validator!J940=TRUE,Validator!J1190=TRUE,Validator!J1440=TRUE),"Valid","Invalid")</f>
        <v>Valid</v>
      </c>
      <c r="C196" s="144"/>
      <c r="D196" s="364"/>
      <c r="E196" s="145"/>
      <c r="F196" s="580"/>
      <c r="G196" s="309"/>
      <c r="H196" s="580"/>
      <c r="I196" s="296"/>
      <c r="J196" s="376"/>
      <c r="K196" s="146"/>
      <c r="L196" s="539"/>
      <c r="M196" s="469"/>
      <c r="N196" s="373"/>
      <c r="O196" s="348" t="s">
        <v>280</v>
      </c>
      <c r="P196" s="349" t="s">
        <v>79</v>
      </c>
      <c r="Q196" s="516"/>
      <c r="R196" s="467"/>
      <c r="S196" s="517"/>
      <c r="T196" s="517"/>
      <c r="U196" s="171" t="str">
        <f>IF(ISERROR(VLOOKUP($T196, 'Reference data'!$J$2:$K$139, 2, FALSE)),"-",VLOOKUP($T196, 'Reference data'!$J$2:$K$139, 2, FALSE))</f>
        <v>-</v>
      </c>
      <c r="V196" s="147"/>
      <c r="W196" s="147"/>
      <c r="X196" s="471"/>
      <c r="Y196" s="472"/>
      <c r="Z196" s="352"/>
      <c r="AA196" s="520"/>
      <c r="AB196" s="163"/>
      <c r="AC196" s="148"/>
      <c r="AD196" s="145"/>
      <c r="AE196" s="348" t="s">
        <v>280</v>
      </c>
      <c r="AF196" s="354" t="s">
        <v>79</v>
      </c>
    </row>
    <row r="197" spans="2:32">
      <c r="B197" s="514" t="str">
        <f>IF(AND(Validator!J691=TRUE,Validator!J191=TRUE,Validator!J441,Validator!J441=TRUE,Validator!J941=TRUE,Validator!J1191=TRUE,Validator!J1441=TRUE),"Valid","Invalid")</f>
        <v>Valid</v>
      </c>
      <c r="C197" s="144"/>
      <c r="D197" s="364"/>
      <c r="E197" s="145"/>
      <c r="F197" s="580"/>
      <c r="G197" s="309"/>
      <c r="H197" s="580"/>
      <c r="I197" s="296"/>
      <c r="J197" s="376"/>
      <c r="K197" s="146"/>
      <c r="L197" s="539"/>
      <c r="M197" s="469"/>
      <c r="N197" s="373"/>
      <c r="O197" s="348" t="s">
        <v>280</v>
      </c>
      <c r="P197" s="349" t="s">
        <v>79</v>
      </c>
      <c r="Q197" s="516"/>
      <c r="R197" s="467"/>
      <c r="S197" s="517"/>
      <c r="T197" s="517"/>
      <c r="U197" s="171" t="str">
        <f>IF(ISERROR(VLOOKUP($T197, 'Reference data'!$J$2:$K$139, 2, FALSE)),"-",VLOOKUP($T197, 'Reference data'!$J$2:$K$139, 2, FALSE))</f>
        <v>-</v>
      </c>
      <c r="V197" s="147"/>
      <c r="W197" s="147"/>
      <c r="X197" s="471"/>
      <c r="Y197" s="472"/>
      <c r="Z197" s="352"/>
      <c r="AA197" s="520"/>
      <c r="AB197" s="163"/>
      <c r="AC197" s="148"/>
      <c r="AD197" s="145"/>
      <c r="AE197" s="348" t="s">
        <v>280</v>
      </c>
      <c r="AF197" s="354" t="s">
        <v>79</v>
      </c>
    </row>
    <row r="198" spans="2:32">
      <c r="B198" s="514" t="str">
        <f>IF(AND(Validator!J692=TRUE,Validator!J192=TRUE,Validator!J442,Validator!J442=TRUE,Validator!J942=TRUE,Validator!J1192=TRUE,Validator!J1442=TRUE),"Valid","Invalid")</f>
        <v>Valid</v>
      </c>
      <c r="C198" s="144"/>
      <c r="D198" s="364"/>
      <c r="E198" s="145"/>
      <c r="F198" s="580"/>
      <c r="G198" s="309"/>
      <c r="H198" s="580"/>
      <c r="I198" s="296"/>
      <c r="J198" s="376"/>
      <c r="K198" s="146"/>
      <c r="L198" s="539"/>
      <c r="M198" s="469"/>
      <c r="N198" s="373"/>
      <c r="O198" s="348" t="s">
        <v>280</v>
      </c>
      <c r="P198" s="349" t="s">
        <v>79</v>
      </c>
      <c r="Q198" s="516"/>
      <c r="R198" s="467"/>
      <c r="S198" s="517"/>
      <c r="T198" s="517"/>
      <c r="U198" s="171" t="str">
        <f>IF(ISERROR(VLOOKUP($T198, 'Reference data'!$J$2:$K$139, 2, FALSE)),"-",VLOOKUP($T198, 'Reference data'!$J$2:$K$139, 2, FALSE))</f>
        <v>-</v>
      </c>
      <c r="V198" s="147"/>
      <c r="W198" s="147"/>
      <c r="X198" s="471"/>
      <c r="Y198" s="472"/>
      <c r="Z198" s="352"/>
      <c r="AA198" s="520"/>
      <c r="AB198" s="163"/>
      <c r="AC198" s="148"/>
      <c r="AD198" s="145"/>
      <c r="AE198" s="348" t="s">
        <v>280</v>
      </c>
      <c r="AF198" s="354" t="s">
        <v>79</v>
      </c>
    </row>
    <row r="199" spans="2:32">
      <c r="B199" s="514" t="str">
        <f>IF(AND(Validator!J693=TRUE,Validator!J193=TRUE,Validator!J443,Validator!J443=TRUE,Validator!J943=TRUE,Validator!J1193=TRUE,Validator!J1443=TRUE),"Valid","Invalid")</f>
        <v>Valid</v>
      </c>
      <c r="C199" s="144"/>
      <c r="D199" s="364"/>
      <c r="E199" s="145"/>
      <c r="F199" s="580"/>
      <c r="G199" s="309"/>
      <c r="H199" s="580"/>
      <c r="I199" s="296"/>
      <c r="J199" s="376"/>
      <c r="K199" s="146"/>
      <c r="L199" s="539"/>
      <c r="M199" s="469"/>
      <c r="N199" s="373"/>
      <c r="O199" s="348" t="s">
        <v>280</v>
      </c>
      <c r="P199" s="349" t="s">
        <v>79</v>
      </c>
      <c r="Q199" s="516"/>
      <c r="R199" s="467"/>
      <c r="S199" s="517"/>
      <c r="T199" s="517"/>
      <c r="U199" s="171" t="str">
        <f>IF(ISERROR(VLOOKUP($T199, 'Reference data'!$J$2:$K$139, 2, FALSE)),"-",VLOOKUP($T199, 'Reference data'!$J$2:$K$139, 2, FALSE))</f>
        <v>-</v>
      </c>
      <c r="V199" s="147"/>
      <c r="W199" s="147"/>
      <c r="X199" s="471"/>
      <c r="Y199" s="472"/>
      <c r="Z199" s="352"/>
      <c r="AA199" s="520"/>
      <c r="AB199" s="163"/>
      <c r="AC199" s="148"/>
      <c r="AD199" s="145"/>
      <c r="AE199" s="348" t="s">
        <v>280</v>
      </c>
      <c r="AF199" s="354" t="s">
        <v>79</v>
      </c>
    </row>
    <row r="200" spans="2:32">
      <c r="B200" s="514" t="str">
        <f>IF(AND(Validator!J694=TRUE,Validator!J194=TRUE,Validator!J444,Validator!J444=TRUE,Validator!J944=TRUE,Validator!J1194=TRUE,Validator!J1444=TRUE),"Valid","Invalid")</f>
        <v>Valid</v>
      </c>
      <c r="C200" s="144"/>
      <c r="D200" s="364"/>
      <c r="E200" s="145"/>
      <c r="F200" s="580"/>
      <c r="G200" s="309"/>
      <c r="H200" s="580"/>
      <c r="I200" s="296"/>
      <c r="J200" s="376"/>
      <c r="K200" s="146"/>
      <c r="L200" s="539"/>
      <c r="M200" s="469"/>
      <c r="N200" s="373"/>
      <c r="O200" s="348" t="s">
        <v>280</v>
      </c>
      <c r="P200" s="349" t="s">
        <v>79</v>
      </c>
      <c r="Q200" s="516"/>
      <c r="R200" s="467"/>
      <c r="S200" s="517"/>
      <c r="T200" s="517"/>
      <c r="U200" s="171" t="str">
        <f>IF(ISERROR(VLOOKUP($T200, 'Reference data'!$J$2:$K$139, 2, FALSE)),"-",VLOOKUP($T200, 'Reference data'!$J$2:$K$139, 2, FALSE))</f>
        <v>-</v>
      </c>
      <c r="V200" s="147"/>
      <c r="W200" s="147"/>
      <c r="X200" s="471"/>
      <c r="Y200" s="472"/>
      <c r="Z200" s="352"/>
      <c r="AA200" s="520"/>
      <c r="AB200" s="163"/>
      <c r="AC200" s="148"/>
      <c r="AD200" s="145"/>
      <c r="AE200" s="348" t="s">
        <v>280</v>
      </c>
      <c r="AF200" s="354" t="s">
        <v>79</v>
      </c>
    </row>
    <row r="201" spans="2:32">
      <c r="B201" s="514" t="str">
        <f>IF(AND(Validator!J695=TRUE,Validator!J195=TRUE,Validator!J445,Validator!J445=TRUE,Validator!J945=TRUE,Validator!J1195=TRUE,Validator!J1445=TRUE),"Valid","Invalid")</f>
        <v>Valid</v>
      </c>
      <c r="C201" s="144"/>
      <c r="D201" s="364"/>
      <c r="E201" s="145"/>
      <c r="F201" s="580"/>
      <c r="G201" s="309"/>
      <c r="H201" s="580"/>
      <c r="I201" s="296"/>
      <c r="J201" s="376"/>
      <c r="K201" s="146"/>
      <c r="L201" s="539"/>
      <c r="M201" s="469"/>
      <c r="N201" s="373"/>
      <c r="O201" s="348" t="s">
        <v>280</v>
      </c>
      <c r="P201" s="349" t="s">
        <v>79</v>
      </c>
      <c r="Q201" s="516"/>
      <c r="R201" s="467"/>
      <c r="S201" s="517"/>
      <c r="T201" s="517"/>
      <c r="U201" s="171" t="str">
        <f>IF(ISERROR(VLOOKUP($T201, 'Reference data'!$J$2:$K$139, 2, FALSE)),"-",VLOOKUP($T201, 'Reference data'!$J$2:$K$139, 2, FALSE))</f>
        <v>-</v>
      </c>
      <c r="V201" s="147"/>
      <c r="W201" s="147"/>
      <c r="X201" s="471"/>
      <c r="Y201" s="472"/>
      <c r="Z201" s="352"/>
      <c r="AA201" s="520"/>
      <c r="AB201" s="163"/>
      <c r="AC201" s="148"/>
      <c r="AD201" s="145"/>
      <c r="AE201" s="348" t="s">
        <v>280</v>
      </c>
      <c r="AF201" s="354" t="s">
        <v>79</v>
      </c>
    </row>
    <row r="202" spans="2:32">
      <c r="B202" s="514" t="str">
        <f>IF(AND(Validator!J696=TRUE,Validator!J196=TRUE,Validator!J446,Validator!J446=TRUE,Validator!J946=TRUE,Validator!J1196=TRUE,Validator!J1446=TRUE),"Valid","Invalid")</f>
        <v>Valid</v>
      </c>
      <c r="C202" s="144"/>
      <c r="D202" s="364"/>
      <c r="E202" s="145"/>
      <c r="F202" s="580"/>
      <c r="G202" s="309"/>
      <c r="H202" s="580"/>
      <c r="I202" s="296"/>
      <c r="J202" s="376"/>
      <c r="K202" s="146"/>
      <c r="L202" s="539"/>
      <c r="M202" s="469"/>
      <c r="N202" s="373"/>
      <c r="O202" s="348" t="s">
        <v>280</v>
      </c>
      <c r="P202" s="349" t="s">
        <v>79</v>
      </c>
      <c r="Q202" s="516"/>
      <c r="R202" s="467"/>
      <c r="S202" s="517"/>
      <c r="T202" s="517"/>
      <c r="U202" s="171" t="str">
        <f>IF(ISERROR(VLOOKUP($T202, 'Reference data'!$J$2:$K$139, 2, FALSE)),"-",VLOOKUP($T202, 'Reference data'!$J$2:$K$139, 2, FALSE))</f>
        <v>-</v>
      </c>
      <c r="V202" s="147"/>
      <c r="W202" s="147"/>
      <c r="X202" s="471"/>
      <c r="Y202" s="472"/>
      <c r="Z202" s="352"/>
      <c r="AA202" s="520"/>
      <c r="AB202" s="163"/>
      <c r="AC202" s="148"/>
      <c r="AD202" s="145"/>
      <c r="AE202" s="348" t="s">
        <v>280</v>
      </c>
      <c r="AF202" s="354" t="s">
        <v>79</v>
      </c>
    </row>
    <row r="203" spans="2:32">
      <c r="B203" s="514" t="str">
        <f>IF(AND(Validator!J697=TRUE,Validator!J197=TRUE,Validator!J447,Validator!J447=TRUE,Validator!J947=TRUE,Validator!J1197=TRUE,Validator!J1447=TRUE),"Valid","Invalid")</f>
        <v>Valid</v>
      </c>
      <c r="C203" s="144"/>
      <c r="D203" s="364"/>
      <c r="E203" s="145"/>
      <c r="F203" s="580"/>
      <c r="G203" s="309"/>
      <c r="H203" s="580"/>
      <c r="I203" s="296"/>
      <c r="J203" s="376"/>
      <c r="K203" s="146"/>
      <c r="L203" s="539"/>
      <c r="M203" s="469"/>
      <c r="N203" s="373"/>
      <c r="O203" s="348" t="s">
        <v>280</v>
      </c>
      <c r="P203" s="349" t="s">
        <v>79</v>
      </c>
      <c r="Q203" s="516"/>
      <c r="R203" s="467"/>
      <c r="S203" s="517"/>
      <c r="T203" s="517"/>
      <c r="U203" s="171" t="str">
        <f>IF(ISERROR(VLOOKUP($T203, 'Reference data'!$J$2:$K$139, 2, FALSE)),"-",VLOOKUP($T203, 'Reference data'!$J$2:$K$139, 2, FALSE))</f>
        <v>-</v>
      </c>
      <c r="V203" s="147"/>
      <c r="W203" s="147"/>
      <c r="X203" s="471"/>
      <c r="Y203" s="472"/>
      <c r="Z203" s="352"/>
      <c r="AA203" s="520"/>
      <c r="AB203" s="163"/>
      <c r="AC203" s="148"/>
      <c r="AD203" s="145"/>
      <c r="AE203" s="348" t="s">
        <v>280</v>
      </c>
      <c r="AF203" s="354" t="s">
        <v>79</v>
      </c>
    </row>
    <row r="204" spans="2:32">
      <c r="B204" s="514" t="str">
        <f>IF(AND(Validator!J698=TRUE,Validator!J198=TRUE,Validator!J448,Validator!J448=TRUE,Validator!J948=TRUE,Validator!J1198=TRUE,Validator!J1448=TRUE),"Valid","Invalid")</f>
        <v>Valid</v>
      </c>
      <c r="C204" s="144"/>
      <c r="D204" s="364"/>
      <c r="E204" s="145"/>
      <c r="F204" s="580"/>
      <c r="G204" s="309"/>
      <c r="H204" s="580"/>
      <c r="I204" s="296"/>
      <c r="J204" s="376"/>
      <c r="K204" s="146"/>
      <c r="L204" s="539"/>
      <c r="M204" s="469"/>
      <c r="N204" s="373"/>
      <c r="O204" s="348" t="s">
        <v>280</v>
      </c>
      <c r="P204" s="349" t="s">
        <v>79</v>
      </c>
      <c r="Q204" s="516"/>
      <c r="R204" s="467"/>
      <c r="S204" s="517"/>
      <c r="T204" s="517"/>
      <c r="U204" s="171" t="str">
        <f>IF(ISERROR(VLOOKUP($T204, 'Reference data'!$J$2:$K$139, 2, FALSE)),"-",VLOOKUP($T204, 'Reference data'!$J$2:$K$139, 2, FALSE))</f>
        <v>-</v>
      </c>
      <c r="V204" s="147"/>
      <c r="W204" s="147"/>
      <c r="X204" s="471"/>
      <c r="Y204" s="472"/>
      <c r="Z204" s="352"/>
      <c r="AA204" s="520"/>
      <c r="AB204" s="163"/>
      <c r="AC204" s="148"/>
      <c r="AD204" s="145"/>
      <c r="AE204" s="348" t="s">
        <v>280</v>
      </c>
      <c r="AF204" s="354" t="s">
        <v>79</v>
      </c>
    </row>
    <row r="205" spans="2:32">
      <c r="B205" s="514" t="str">
        <f>IF(AND(Validator!J699=TRUE,Validator!J199=TRUE,Validator!J449,Validator!J449=TRUE,Validator!J949=TRUE,Validator!J1199=TRUE,Validator!J1449=TRUE),"Valid","Invalid")</f>
        <v>Valid</v>
      </c>
      <c r="C205" s="144"/>
      <c r="D205" s="364"/>
      <c r="E205" s="145"/>
      <c r="F205" s="580"/>
      <c r="G205" s="309"/>
      <c r="H205" s="580"/>
      <c r="I205" s="296"/>
      <c r="J205" s="376"/>
      <c r="K205" s="146"/>
      <c r="L205" s="539"/>
      <c r="M205" s="469"/>
      <c r="N205" s="373"/>
      <c r="O205" s="348" t="s">
        <v>280</v>
      </c>
      <c r="P205" s="349" t="s">
        <v>79</v>
      </c>
      <c r="Q205" s="516"/>
      <c r="R205" s="467"/>
      <c r="S205" s="517"/>
      <c r="T205" s="517"/>
      <c r="U205" s="171" t="str">
        <f>IF(ISERROR(VLOOKUP($T205, 'Reference data'!$J$2:$K$139, 2, FALSE)),"-",VLOOKUP($T205, 'Reference data'!$J$2:$K$139, 2, FALSE))</f>
        <v>-</v>
      </c>
      <c r="V205" s="147"/>
      <c r="W205" s="147"/>
      <c r="X205" s="471"/>
      <c r="Y205" s="472"/>
      <c r="Z205" s="352"/>
      <c r="AA205" s="520"/>
      <c r="AB205" s="163"/>
      <c r="AC205" s="148"/>
      <c r="AD205" s="145"/>
      <c r="AE205" s="348" t="s">
        <v>280</v>
      </c>
      <c r="AF205" s="354" t="s">
        <v>79</v>
      </c>
    </row>
    <row r="206" spans="2:32">
      <c r="B206" s="514" t="str">
        <f>IF(AND(Validator!J700=TRUE,Validator!J200=TRUE,Validator!J450,Validator!J450=TRUE,Validator!J950=TRUE,Validator!J1200=TRUE,Validator!J1450=TRUE),"Valid","Invalid")</f>
        <v>Valid</v>
      </c>
      <c r="C206" s="144"/>
      <c r="D206" s="364"/>
      <c r="E206" s="145"/>
      <c r="F206" s="580"/>
      <c r="G206" s="309"/>
      <c r="H206" s="580"/>
      <c r="I206" s="296"/>
      <c r="J206" s="376"/>
      <c r="K206" s="146"/>
      <c r="L206" s="539"/>
      <c r="M206" s="469"/>
      <c r="N206" s="373"/>
      <c r="O206" s="348" t="s">
        <v>280</v>
      </c>
      <c r="P206" s="349" t="s">
        <v>79</v>
      </c>
      <c r="Q206" s="516"/>
      <c r="R206" s="467"/>
      <c r="S206" s="517"/>
      <c r="T206" s="517"/>
      <c r="U206" s="171" t="str">
        <f>IF(ISERROR(VLOOKUP($T206, 'Reference data'!$J$2:$K$139, 2, FALSE)),"-",VLOOKUP($T206, 'Reference data'!$J$2:$K$139, 2, FALSE))</f>
        <v>-</v>
      </c>
      <c r="V206" s="147"/>
      <c r="W206" s="147"/>
      <c r="X206" s="471"/>
      <c r="Y206" s="472"/>
      <c r="Z206" s="352"/>
      <c r="AA206" s="520"/>
      <c r="AB206" s="163"/>
      <c r="AC206" s="148"/>
      <c r="AD206" s="145"/>
      <c r="AE206" s="348" t="s">
        <v>280</v>
      </c>
      <c r="AF206" s="354" t="s">
        <v>79</v>
      </c>
    </row>
    <row r="207" spans="2:32">
      <c r="B207" s="514" t="str">
        <f>IF(AND(Validator!J701=TRUE,Validator!J201=TRUE,Validator!J451,Validator!J451=TRUE,Validator!J951=TRUE,Validator!J1201=TRUE,Validator!J1451=TRUE),"Valid","Invalid")</f>
        <v>Valid</v>
      </c>
      <c r="C207" s="144"/>
      <c r="D207" s="364"/>
      <c r="E207" s="145"/>
      <c r="F207" s="580"/>
      <c r="G207" s="309"/>
      <c r="H207" s="580"/>
      <c r="I207" s="296"/>
      <c r="J207" s="376"/>
      <c r="K207" s="146"/>
      <c r="L207" s="539"/>
      <c r="M207" s="469"/>
      <c r="N207" s="373"/>
      <c r="O207" s="348" t="s">
        <v>280</v>
      </c>
      <c r="P207" s="349" t="s">
        <v>79</v>
      </c>
      <c r="Q207" s="516"/>
      <c r="R207" s="467"/>
      <c r="S207" s="517"/>
      <c r="T207" s="517"/>
      <c r="U207" s="171" t="str">
        <f>IF(ISERROR(VLOOKUP($T207, 'Reference data'!$J$2:$K$139, 2, FALSE)),"-",VLOOKUP($T207, 'Reference data'!$J$2:$K$139, 2, FALSE))</f>
        <v>-</v>
      </c>
      <c r="V207" s="147"/>
      <c r="W207" s="147"/>
      <c r="X207" s="471"/>
      <c r="Y207" s="472"/>
      <c r="Z207" s="352"/>
      <c r="AA207" s="520"/>
      <c r="AB207" s="163"/>
      <c r="AC207" s="148"/>
      <c r="AD207" s="145"/>
      <c r="AE207" s="348" t="s">
        <v>280</v>
      </c>
      <c r="AF207" s="354" t="s">
        <v>79</v>
      </c>
    </row>
    <row r="208" spans="2:32">
      <c r="B208" s="514" t="str">
        <f>IF(AND(Validator!J702=TRUE,Validator!J202=TRUE,Validator!J452,Validator!J452=TRUE,Validator!J952=TRUE,Validator!J1202=TRUE,Validator!J1452=TRUE),"Valid","Invalid")</f>
        <v>Valid</v>
      </c>
      <c r="C208" s="144"/>
      <c r="D208" s="364"/>
      <c r="E208" s="145"/>
      <c r="F208" s="580"/>
      <c r="G208" s="309"/>
      <c r="H208" s="580"/>
      <c r="I208" s="296"/>
      <c r="J208" s="376"/>
      <c r="K208" s="146"/>
      <c r="L208" s="539"/>
      <c r="M208" s="469"/>
      <c r="N208" s="373"/>
      <c r="O208" s="348" t="s">
        <v>280</v>
      </c>
      <c r="P208" s="349" t="s">
        <v>79</v>
      </c>
      <c r="Q208" s="516"/>
      <c r="R208" s="467"/>
      <c r="S208" s="517"/>
      <c r="T208" s="517"/>
      <c r="U208" s="171" t="str">
        <f>IF(ISERROR(VLOOKUP($T208, 'Reference data'!$J$2:$K$139, 2, FALSE)),"-",VLOOKUP($T208, 'Reference data'!$J$2:$K$139, 2, FALSE))</f>
        <v>-</v>
      </c>
      <c r="V208" s="147"/>
      <c r="W208" s="147"/>
      <c r="X208" s="471"/>
      <c r="Y208" s="472"/>
      <c r="Z208" s="352"/>
      <c r="AA208" s="520"/>
      <c r="AB208" s="163"/>
      <c r="AC208" s="148"/>
      <c r="AD208" s="145"/>
      <c r="AE208" s="348" t="s">
        <v>280</v>
      </c>
      <c r="AF208" s="354" t="s">
        <v>79</v>
      </c>
    </row>
    <row r="209" spans="2:32">
      <c r="B209" s="514" t="str">
        <f>IF(AND(Validator!J703=TRUE,Validator!J203=TRUE,Validator!J453,Validator!J453=TRUE,Validator!J953=TRUE,Validator!J1203=TRUE,Validator!J1453=TRUE),"Valid","Invalid")</f>
        <v>Valid</v>
      </c>
      <c r="C209" s="144"/>
      <c r="D209" s="364"/>
      <c r="E209" s="145"/>
      <c r="F209" s="580"/>
      <c r="G209" s="309"/>
      <c r="H209" s="580"/>
      <c r="I209" s="296"/>
      <c r="J209" s="376"/>
      <c r="K209" s="146"/>
      <c r="L209" s="539"/>
      <c r="M209" s="469"/>
      <c r="N209" s="373"/>
      <c r="O209" s="348" t="s">
        <v>280</v>
      </c>
      <c r="P209" s="349" t="s">
        <v>79</v>
      </c>
      <c r="Q209" s="516"/>
      <c r="R209" s="467"/>
      <c r="S209" s="517"/>
      <c r="T209" s="517"/>
      <c r="U209" s="171" t="str">
        <f>IF(ISERROR(VLOOKUP($T209, 'Reference data'!$J$2:$K$139, 2, FALSE)),"-",VLOOKUP($T209, 'Reference data'!$J$2:$K$139, 2, FALSE))</f>
        <v>-</v>
      </c>
      <c r="V209" s="147"/>
      <c r="W209" s="147"/>
      <c r="X209" s="471"/>
      <c r="Y209" s="472"/>
      <c r="Z209" s="352"/>
      <c r="AA209" s="520"/>
      <c r="AB209" s="163"/>
      <c r="AC209" s="148"/>
      <c r="AD209" s="145"/>
      <c r="AE209" s="348" t="s">
        <v>280</v>
      </c>
      <c r="AF209" s="354" t="s">
        <v>79</v>
      </c>
    </row>
    <row r="210" spans="2:32">
      <c r="B210" s="514" t="str">
        <f>IF(AND(Validator!J704=TRUE,Validator!J204=TRUE,Validator!J454,Validator!J454=TRUE,Validator!J954=TRUE,Validator!J1204=TRUE,Validator!J1454=TRUE),"Valid","Invalid")</f>
        <v>Valid</v>
      </c>
      <c r="C210" s="144"/>
      <c r="D210" s="364"/>
      <c r="E210" s="145"/>
      <c r="F210" s="580"/>
      <c r="G210" s="309"/>
      <c r="H210" s="580"/>
      <c r="I210" s="296"/>
      <c r="J210" s="376"/>
      <c r="K210" s="146"/>
      <c r="L210" s="539"/>
      <c r="M210" s="469"/>
      <c r="N210" s="373"/>
      <c r="O210" s="348" t="s">
        <v>280</v>
      </c>
      <c r="P210" s="349" t="s">
        <v>79</v>
      </c>
      <c r="Q210" s="516"/>
      <c r="R210" s="467"/>
      <c r="S210" s="517"/>
      <c r="T210" s="517"/>
      <c r="U210" s="171" t="str">
        <f>IF(ISERROR(VLOOKUP($T210, 'Reference data'!$J$2:$K$139, 2, FALSE)),"-",VLOOKUP($T210, 'Reference data'!$J$2:$K$139, 2, FALSE))</f>
        <v>-</v>
      </c>
      <c r="V210" s="147"/>
      <c r="W210" s="147"/>
      <c r="X210" s="471"/>
      <c r="Y210" s="472"/>
      <c r="Z210" s="352"/>
      <c r="AA210" s="520"/>
      <c r="AB210" s="163"/>
      <c r="AC210" s="148"/>
      <c r="AD210" s="145"/>
      <c r="AE210" s="348" t="s">
        <v>280</v>
      </c>
      <c r="AF210" s="354" t="s">
        <v>79</v>
      </c>
    </row>
    <row r="211" spans="2:32">
      <c r="B211" s="514" t="str">
        <f>IF(AND(Validator!J705=TRUE,Validator!J205=TRUE,Validator!J455,Validator!J455=TRUE,Validator!J955=TRUE,Validator!J1205=TRUE,Validator!J1455=TRUE),"Valid","Invalid")</f>
        <v>Valid</v>
      </c>
      <c r="C211" s="144"/>
      <c r="D211" s="364"/>
      <c r="E211" s="145"/>
      <c r="F211" s="580"/>
      <c r="G211" s="309"/>
      <c r="H211" s="580"/>
      <c r="I211" s="296"/>
      <c r="J211" s="376"/>
      <c r="K211" s="146"/>
      <c r="L211" s="539"/>
      <c r="M211" s="469"/>
      <c r="N211" s="373"/>
      <c r="O211" s="348" t="s">
        <v>280</v>
      </c>
      <c r="P211" s="349" t="s">
        <v>79</v>
      </c>
      <c r="Q211" s="516"/>
      <c r="R211" s="467"/>
      <c r="S211" s="517"/>
      <c r="T211" s="517"/>
      <c r="U211" s="171" t="str">
        <f>IF(ISERROR(VLOOKUP($T211, 'Reference data'!$J$2:$K$139, 2, FALSE)),"-",VLOOKUP($T211, 'Reference data'!$J$2:$K$139, 2, FALSE))</f>
        <v>-</v>
      </c>
      <c r="V211" s="147"/>
      <c r="W211" s="147"/>
      <c r="X211" s="471"/>
      <c r="Y211" s="472"/>
      <c r="Z211" s="352"/>
      <c r="AA211" s="520"/>
      <c r="AB211" s="163"/>
      <c r="AC211" s="148"/>
      <c r="AD211" s="145"/>
      <c r="AE211" s="348" t="s">
        <v>280</v>
      </c>
      <c r="AF211" s="354" t="s">
        <v>79</v>
      </c>
    </row>
    <row r="212" spans="2:32">
      <c r="B212" s="514" t="str">
        <f>IF(AND(Validator!J706=TRUE,Validator!J206=TRUE,Validator!J456,Validator!J456=TRUE,Validator!J956=TRUE,Validator!J1206=TRUE,Validator!J1456=TRUE),"Valid","Invalid")</f>
        <v>Valid</v>
      </c>
      <c r="C212" s="144"/>
      <c r="D212" s="364"/>
      <c r="E212" s="145"/>
      <c r="F212" s="580"/>
      <c r="G212" s="309"/>
      <c r="H212" s="580"/>
      <c r="I212" s="296"/>
      <c r="J212" s="376"/>
      <c r="K212" s="146"/>
      <c r="L212" s="539"/>
      <c r="M212" s="469"/>
      <c r="N212" s="373"/>
      <c r="O212" s="348" t="s">
        <v>280</v>
      </c>
      <c r="P212" s="349" t="s">
        <v>79</v>
      </c>
      <c r="Q212" s="516"/>
      <c r="R212" s="467"/>
      <c r="S212" s="517"/>
      <c r="T212" s="517"/>
      <c r="U212" s="171" t="str">
        <f>IF(ISERROR(VLOOKUP($T212, 'Reference data'!$J$2:$K$139, 2, FALSE)),"-",VLOOKUP($T212, 'Reference data'!$J$2:$K$139, 2, FALSE))</f>
        <v>-</v>
      </c>
      <c r="V212" s="147"/>
      <c r="W212" s="147"/>
      <c r="X212" s="471"/>
      <c r="Y212" s="472"/>
      <c r="Z212" s="352"/>
      <c r="AA212" s="520"/>
      <c r="AB212" s="163"/>
      <c r="AC212" s="148"/>
      <c r="AD212" s="145"/>
      <c r="AE212" s="348" t="s">
        <v>280</v>
      </c>
      <c r="AF212" s="354" t="s">
        <v>79</v>
      </c>
    </row>
    <row r="213" spans="2:32">
      <c r="B213" s="514" t="str">
        <f>IF(AND(Validator!J707=TRUE,Validator!J207=TRUE,Validator!J457,Validator!J457=TRUE,Validator!J957=TRUE,Validator!J1207=TRUE,Validator!J1457=TRUE),"Valid","Invalid")</f>
        <v>Valid</v>
      </c>
      <c r="C213" s="144"/>
      <c r="D213" s="364"/>
      <c r="E213" s="145"/>
      <c r="F213" s="580"/>
      <c r="G213" s="309"/>
      <c r="H213" s="580"/>
      <c r="I213" s="296"/>
      <c r="J213" s="376"/>
      <c r="K213" s="146"/>
      <c r="L213" s="539"/>
      <c r="M213" s="469"/>
      <c r="N213" s="373"/>
      <c r="O213" s="348" t="s">
        <v>280</v>
      </c>
      <c r="P213" s="349" t="s">
        <v>79</v>
      </c>
      <c r="Q213" s="516"/>
      <c r="R213" s="467"/>
      <c r="S213" s="517"/>
      <c r="T213" s="517"/>
      <c r="U213" s="171" t="str">
        <f>IF(ISERROR(VLOOKUP($T213, 'Reference data'!$J$2:$K$139, 2, FALSE)),"-",VLOOKUP($T213, 'Reference data'!$J$2:$K$139, 2, FALSE))</f>
        <v>-</v>
      </c>
      <c r="V213" s="147"/>
      <c r="W213" s="147"/>
      <c r="X213" s="471"/>
      <c r="Y213" s="472"/>
      <c r="Z213" s="352"/>
      <c r="AA213" s="520"/>
      <c r="AB213" s="163"/>
      <c r="AC213" s="148"/>
      <c r="AD213" s="145"/>
      <c r="AE213" s="348" t="s">
        <v>280</v>
      </c>
      <c r="AF213" s="354" t="s">
        <v>79</v>
      </c>
    </row>
    <row r="214" spans="2:32">
      <c r="B214" s="514" t="str">
        <f>IF(AND(Validator!J708=TRUE,Validator!J208=TRUE,Validator!J458,Validator!J458=TRUE,Validator!J958=TRUE,Validator!J1208=TRUE,Validator!J1458=TRUE),"Valid","Invalid")</f>
        <v>Valid</v>
      </c>
      <c r="C214" s="144"/>
      <c r="D214" s="364"/>
      <c r="E214" s="145"/>
      <c r="F214" s="580"/>
      <c r="G214" s="309"/>
      <c r="H214" s="580"/>
      <c r="I214" s="296"/>
      <c r="J214" s="376"/>
      <c r="K214" s="146"/>
      <c r="L214" s="539"/>
      <c r="M214" s="469"/>
      <c r="N214" s="373"/>
      <c r="O214" s="348" t="s">
        <v>280</v>
      </c>
      <c r="P214" s="349" t="s">
        <v>79</v>
      </c>
      <c r="Q214" s="516"/>
      <c r="R214" s="467"/>
      <c r="S214" s="517"/>
      <c r="T214" s="517"/>
      <c r="U214" s="171" t="str">
        <f>IF(ISERROR(VLOOKUP($T214, 'Reference data'!$J$2:$K$139, 2, FALSE)),"-",VLOOKUP($T214, 'Reference data'!$J$2:$K$139, 2, FALSE))</f>
        <v>-</v>
      </c>
      <c r="V214" s="147"/>
      <c r="W214" s="147"/>
      <c r="X214" s="471"/>
      <c r="Y214" s="472"/>
      <c r="Z214" s="352"/>
      <c r="AA214" s="520"/>
      <c r="AB214" s="163"/>
      <c r="AC214" s="148"/>
      <c r="AD214" s="145"/>
      <c r="AE214" s="348" t="s">
        <v>280</v>
      </c>
      <c r="AF214" s="354" t="s">
        <v>79</v>
      </c>
    </row>
    <row r="215" spans="2:32">
      <c r="B215" s="514" t="str">
        <f>IF(AND(Validator!J709=TRUE,Validator!J209=TRUE,Validator!J459,Validator!J459=TRUE,Validator!J959=TRUE,Validator!J1209=TRUE,Validator!J1459=TRUE),"Valid","Invalid")</f>
        <v>Valid</v>
      </c>
      <c r="C215" s="144"/>
      <c r="D215" s="364"/>
      <c r="E215" s="145"/>
      <c r="F215" s="580"/>
      <c r="G215" s="309"/>
      <c r="H215" s="580"/>
      <c r="I215" s="296"/>
      <c r="J215" s="376"/>
      <c r="K215" s="146"/>
      <c r="L215" s="539"/>
      <c r="M215" s="469"/>
      <c r="N215" s="373"/>
      <c r="O215" s="348" t="s">
        <v>280</v>
      </c>
      <c r="P215" s="349" t="s">
        <v>79</v>
      </c>
      <c r="Q215" s="516"/>
      <c r="R215" s="467"/>
      <c r="S215" s="517"/>
      <c r="T215" s="517"/>
      <c r="U215" s="171" t="str">
        <f>IF(ISERROR(VLOOKUP($T215, 'Reference data'!$J$2:$K$139, 2, FALSE)),"-",VLOOKUP($T215, 'Reference data'!$J$2:$K$139, 2, FALSE))</f>
        <v>-</v>
      </c>
      <c r="V215" s="147"/>
      <c r="W215" s="147"/>
      <c r="X215" s="471"/>
      <c r="Y215" s="472"/>
      <c r="Z215" s="352"/>
      <c r="AA215" s="520"/>
      <c r="AB215" s="163"/>
      <c r="AC215" s="148"/>
      <c r="AD215" s="145"/>
      <c r="AE215" s="348" t="s">
        <v>280</v>
      </c>
      <c r="AF215" s="354" t="s">
        <v>79</v>
      </c>
    </row>
    <row r="216" spans="2:32">
      <c r="B216" s="514" t="str">
        <f>IF(AND(Validator!J710=TRUE,Validator!J210=TRUE,Validator!J460,Validator!J460=TRUE,Validator!J960=TRUE,Validator!J1210=TRUE,Validator!J1460=TRUE),"Valid","Invalid")</f>
        <v>Valid</v>
      </c>
      <c r="C216" s="144"/>
      <c r="D216" s="364"/>
      <c r="E216" s="145"/>
      <c r="F216" s="580"/>
      <c r="G216" s="309"/>
      <c r="H216" s="580"/>
      <c r="I216" s="296"/>
      <c r="J216" s="376"/>
      <c r="K216" s="146"/>
      <c r="L216" s="539"/>
      <c r="M216" s="469"/>
      <c r="N216" s="373"/>
      <c r="O216" s="348" t="s">
        <v>280</v>
      </c>
      <c r="P216" s="349" t="s">
        <v>79</v>
      </c>
      <c r="Q216" s="516"/>
      <c r="R216" s="467"/>
      <c r="S216" s="517"/>
      <c r="T216" s="517"/>
      <c r="U216" s="171" t="str">
        <f>IF(ISERROR(VLOOKUP($T216, 'Reference data'!$J$2:$K$139, 2, FALSE)),"-",VLOOKUP($T216, 'Reference data'!$J$2:$K$139, 2, FALSE))</f>
        <v>-</v>
      </c>
      <c r="V216" s="147"/>
      <c r="W216" s="147"/>
      <c r="X216" s="471"/>
      <c r="Y216" s="472"/>
      <c r="Z216" s="352"/>
      <c r="AA216" s="520"/>
      <c r="AB216" s="163"/>
      <c r="AC216" s="148"/>
      <c r="AD216" s="145"/>
      <c r="AE216" s="348" t="s">
        <v>280</v>
      </c>
      <c r="AF216" s="354" t="s">
        <v>79</v>
      </c>
    </row>
    <row r="217" spans="2:32">
      <c r="B217" s="514" t="str">
        <f>IF(AND(Validator!J711=TRUE,Validator!J211=TRUE,Validator!J461,Validator!J461=TRUE,Validator!J961=TRUE,Validator!J1211=TRUE,Validator!J1461=TRUE),"Valid","Invalid")</f>
        <v>Valid</v>
      </c>
      <c r="C217" s="144"/>
      <c r="D217" s="364"/>
      <c r="E217" s="145"/>
      <c r="F217" s="580"/>
      <c r="G217" s="309"/>
      <c r="H217" s="580"/>
      <c r="I217" s="296"/>
      <c r="J217" s="376"/>
      <c r="K217" s="146"/>
      <c r="L217" s="539"/>
      <c r="M217" s="469"/>
      <c r="N217" s="373"/>
      <c r="O217" s="348" t="s">
        <v>280</v>
      </c>
      <c r="P217" s="349" t="s">
        <v>79</v>
      </c>
      <c r="Q217" s="516"/>
      <c r="R217" s="467"/>
      <c r="S217" s="517"/>
      <c r="T217" s="517"/>
      <c r="U217" s="171" t="str">
        <f>IF(ISERROR(VLOOKUP($T217, 'Reference data'!$J$2:$K$139, 2, FALSE)),"-",VLOOKUP($T217, 'Reference data'!$J$2:$K$139, 2, FALSE))</f>
        <v>-</v>
      </c>
      <c r="V217" s="147"/>
      <c r="W217" s="147"/>
      <c r="X217" s="471"/>
      <c r="Y217" s="472"/>
      <c r="Z217" s="352"/>
      <c r="AA217" s="520"/>
      <c r="AB217" s="163"/>
      <c r="AC217" s="148"/>
      <c r="AD217" s="145"/>
      <c r="AE217" s="348" t="s">
        <v>280</v>
      </c>
      <c r="AF217" s="354" t="s">
        <v>79</v>
      </c>
    </row>
    <row r="218" spans="2:32">
      <c r="B218" s="514" t="str">
        <f>IF(AND(Validator!J712=TRUE,Validator!J212=TRUE,Validator!J462,Validator!J462=TRUE,Validator!J962=TRUE,Validator!J1212=TRUE,Validator!J1462=TRUE),"Valid","Invalid")</f>
        <v>Valid</v>
      </c>
      <c r="C218" s="144"/>
      <c r="D218" s="364"/>
      <c r="E218" s="145"/>
      <c r="F218" s="580"/>
      <c r="G218" s="309"/>
      <c r="H218" s="580"/>
      <c r="I218" s="296"/>
      <c r="J218" s="376"/>
      <c r="K218" s="146"/>
      <c r="L218" s="539"/>
      <c r="M218" s="469"/>
      <c r="N218" s="373"/>
      <c r="O218" s="348" t="s">
        <v>280</v>
      </c>
      <c r="P218" s="349" t="s">
        <v>79</v>
      </c>
      <c r="Q218" s="516"/>
      <c r="R218" s="467"/>
      <c r="S218" s="517"/>
      <c r="T218" s="517"/>
      <c r="U218" s="171" t="str">
        <f>IF(ISERROR(VLOOKUP($T218, 'Reference data'!$J$2:$K$139, 2, FALSE)),"-",VLOOKUP($T218, 'Reference data'!$J$2:$K$139, 2, FALSE))</f>
        <v>-</v>
      </c>
      <c r="V218" s="147"/>
      <c r="W218" s="147"/>
      <c r="X218" s="471"/>
      <c r="Y218" s="472"/>
      <c r="Z218" s="352"/>
      <c r="AA218" s="520"/>
      <c r="AB218" s="163"/>
      <c r="AC218" s="148"/>
      <c r="AD218" s="145"/>
      <c r="AE218" s="348" t="s">
        <v>280</v>
      </c>
      <c r="AF218" s="354" t="s">
        <v>79</v>
      </c>
    </row>
    <row r="219" spans="2:32">
      <c r="B219" s="514" t="str">
        <f>IF(AND(Validator!J713=TRUE,Validator!J213=TRUE,Validator!J463,Validator!J463=TRUE,Validator!J963=TRUE,Validator!J1213=TRUE,Validator!J1463=TRUE),"Valid","Invalid")</f>
        <v>Valid</v>
      </c>
      <c r="C219" s="144"/>
      <c r="D219" s="364"/>
      <c r="E219" s="145"/>
      <c r="F219" s="580"/>
      <c r="G219" s="309"/>
      <c r="H219" s="580"/>
      <c r="I219" s="296"/>
      <c r="J219" s="376"/>
      <c r="K219" s="146"/>
      <c r="L219" s="539"/>
      <c r="M219" s="469"/>
      <c r="N219" s="373"/>
      <c r="O219" s="348" t="s">
        <v>280</v>
      </c>
      <c r="P219" s="349" t="s">
        <v>79</v>
      </c>
      <c r="Q219" s="516"/>
      <c r="R219" s="467"/>
      <c r="S219" s="517"/>
      <c r="T219" s="517"/>
      <c r="U219" s="171" t="str">
        <f>IF(ISERROR(VLOOKUP($T219, 'Reference data'!$J$2:$K$139, 2, FALSE)),"-",VLOOKUP($T219, 'Reference data'!$J$2:$K$139, 2, FALSE))</f>
        <v>-</v>
      </c>
      <c r="V219" s="147"/>
      <c r="W219" s="147"/>
      <c r="X219" s="471"/>
      <c r="Y219" s="472"/>
      <c r="Z219" s="352"/>
      <c r="AA219" s="520"/>
      <c r="AB219" s="163"/>
      <c r="AC219" s="148"/>
      <c r="AD219" s="145"/>
      <c r="AE219" s="348" t="s">
        <v>280</v>
      </c>
      <c r="AF219" s="354" t="s">
        <v>79</v>
      </c>
    </row>
    <row r="220" spans="2:32">
      <c r="B220" s="514" t="str">
        <f>IF(AND(Validator!J714=TRUE,Validator!J214=TRUE,Validator!J464,Validator!J464=TRUE,Validator!J964=TRUE,Validator!J1214=TRUE,Validator!J1464=TRUE),"Valid","Invalid")</f>
        <v>Valid</v>
      </c>
      <c r="C220" s="144"/>
      <c r="D220" s="364"/>
      <c r="E220" s="145"/>
      <c r="F220" s="580"/>
      <c r="G220" s="309"/>
      <c r="H220" s="580"/>
      <c r="I220" s="296"/>
      <c r="J220" s="376"/>
      <c r="K220" s="146"/>
      <c r="L220" s="539"/>
      <c r="M220" s="469"/>
      <c r="N220" s="373"/>
      <c r="O220" s="348" t="s">
        <v>280</v>
      </c>
      <c r="P220" s="349" t="s">
        <v>79</v>
      </c>
      <c r="Q220" s="516"/>
      <c r="R220" s="467"/>
      <c r="S220" s="517"/>
      <c r="T220" s="517"/>
      <c r="U220" s="171" t="str">
        <f>IF(ISERROR(VLOOKUP($T220, 'Reference data'!$J$2:$K$139, 2, FALSE)),"-",VLOOKUP($T220, 'Reference data'!$J$2:$K$139, 2, FALSE))</f>
        <v>-</v>
      </c>
      <c r="V220" s="147"/>
      <c r="W220" s="147"/>
      <c r="X220" s="471"/>
      <c r="Y220" s="472"/>
      <c r="Z220" s="352"/>
      <c r="AA220" s="520"/>
      <c r="AB220" s="163"/>
      <c r="AC220" s="148"/>
      <c r="AD220" s="145"/>
      <c r="AE220" s="348" t="s">
        <v>280</v>
      </c>
      <c r="AF220" s="354" t="s">
        <v>79</v>
      </c>
    </row>
    <row r="221" spans="2:32">
      <c r="B221" s="514" t="str">
        <f>IF(AND(Validator!J715=TRUE,Validator!J215=TRUE,Validator!J465,Validator!J465=TRUE,Validator!J965=TRUE,Validator!J1215=TRUE,Validator!J1465=TRUE),"Valid","Invalid")</f>
        <v>Valid</v>
      </c>
      <c r="C221" s="144"/>
      <c r="D221" s="364"/>
      <c r="E221" s="145"/>
      <c r="F221" s="580"/>
      <c r="G221" s="309"/>
      <c r="H221" s="580"/>
      <c r="I221" s="296"/>
      <c r="J221" s="376"/>
      <c r="K221" s="146"/>
      <c r="L221" s="539"/>
      <c r="M221" s="469"/>
      <c r="N221" s="373"/>
      <c r="O221" s="348" t="s">
        <v>280</v>
      </c>
      <c r="P221" s="349" t="s">
        <v>79</v>
      </c>
      <c r="Q221" s="516"/>
      <c r="R221" s="467"/>
      <c r="S221" s="517"/>
      <c r="T221" s="517"/>
      <c r="U221" s="171" t="str">
        <f>IF(ISERROR(VLOOKUP($T221, 'Reference data'!$J$2:$K$139, 2, FALSE)),"-",VLOOKUP($T221, 'Reference data'!$J$2:$K$139, 2, FALSE))</f>
        <v>-</v>
      </c>
      <c r="V221" s="147"/>
      <c r="W221" s="147"/>
      <c r="X221" s="471"/>
      <c r="Y221" s="472"/>
      <c r="Z221" s="352"/>
      <c r="AA221" s="520"/>
      <c r="AB221" s="163"/>
      <c r="AC221" s="148"/>
      <c r="AD221" s="145"/>
      <c r="AE221" s="348" t="s">
        <v>280</v>
      </c>
      <c r="AF221" s="354" t="s">
        <v>79</v>
      </c>
    </row>
    <row r="222" spans="2:32">
      <c r="B222" s="514" t="str">
        <f>IF(AND(Validator!J716=TRUE,Validator!J216=TRUE,Validator!J466,Validator!J466=TRUE,Validator!J966=TRUE,Validator!J1216=TRUE,Validator!J1466=TRUE),"Valid","Invalid")</f>
        <v>Valid</v>
      </c>
      <c r="C222" s="144"/>
      <c r="D222" s="364"/>
      <c r="E222" s="145"/>
      <c r="F222" s="580"/>
      <c r="G222" s="309"/>
      <c r="H222" s="580"/>
      <c r="I222" s="296"/>
      <c r="J222" s="376"/>
      <c r="K222" s="146"/>
      <c r="L222" s="539"/>
      <c r="M222" s="469"/>
      <c r="N222" s="373"/>
      <c r="O222" s="348" t="s">
        <v>280</v>
      </c>
      <c r="P222" s="349" t="s">
        <v>79</v>
      </c>
      <c r="Q222" s="516"/>
      <c r="R222" s="467"/>
      <c r="S222" s="517"/>
      <c r="T222" s="517"/>
      <c r="U222" s="171" t="str">
        <f>IF(ISERROR(VLOOKUP($T222, 'Reference data'!$J$2:$K$139, 2, FALSE)),"-",VLOOKUP($T222, 'Reference data'!$J$2:$K$139, 2, FALSE))</f>
        <v>-</v>
      </c>
      <c r="V222" s="147"/>
      <c r="W222" s="147"/>
      <c r="X222" s="471"/>
      <c r="Y222" s="472"/>
      <c r="Z222" s="352"/>
      <c r="AA222" s="520"/>
      <c r="AB222" s="163"/>
      <c r="AC222" s="148"/>
      <c r="AD222" s="145"/>
      <c r="AE222" s="348" t="s">
        <v>280</v>
      </c>
      <c r="AF222" s="354" t="s">
        <v>79</v>
      </c>
    </row>
    <row r="223" spans="2:32">
      <c r="B223" s="514" t="str">
        <f>IF(AND(Validator!J717=TRUE,Validator!J217=TRUE,Validator!J467,Validator!J467=TRUE,Validator!J967=TRUE,Validator!J1217=TRUE,Validator!J1467=TRUE),"Valid","Invalid")</f>
        <v>Valid</v>
      </c>
      <c r="C223" s="144"/>
      <c r="D223" s="364"/>
      <c r="E223" s="145"/>
      <c r="F223" s="580"/>
      <c r="G223" s="309"/>
      <c r="H223" s="580"/>
      <c r="I223" s="296"/>
      <c r="J223" s="376"/>
      <c r="K223" s="146"/>
      <c r="L223" s="539"/>
      <c r="M223" s="469"/>
      <c r="N223" s="373"/>
      <c r="O223" s="348" t="s">
        <v>280</v>
      </c>
      <c r="P223" s="349" t="s">
        <v>79</v>
      </c>
      <c r="Q223" s="516"/>
      <c r="R223" s="467"/>
      <c r="S223" s="517"/>
      <c r="T223" s="517"/>
      <c r="U223" s="171" t="str">
        <f>IF(ISERROR(VLOOKUP($T223, 'Reference data'!$J$2:$K$139, 2, FALSE)),"-",VLOOKUP($T223, 'Reference data'!$J$2:$K$139, 2, FALSE))</f>
        <v>-</v>
      </c>
      <c r="V223" s="147"/>
      <c r="W223" s="147"/>
      <c r="X223" s="471"/>
      <c r="Y223" s="472"/>
      <c r="Z223" s="352"/>
      <c r="AA223" s="520"/>
      <c r="AB223" s="163"/>
      <c r="AC223" s="148"/>
      <c r="AD223" s="145"/>
      <c r="AE223" s="348" t="s">
        <v>280</v>
      </c>
      <c r="AF223" s="354" t="s">
        <v>79</v>
      </c>
    </row>
    <row r="224" spans="2:32">
      <c r="B224" s="514" t="str">
        <f>IF(AND(Validator!J718=TRUE,Validator!J218=TRUE,Validator!J468,Validator!J468=TRUE,Validator!J968=TRUE,Validator!J1218=TRUE,Validator!J1468=TRUE),"Valid","Invalid")</f>
        <v>Valid</v>
      </c>
      <c r="C224" s="144"/>
      <c r="D224" s="364"/>
      <c r="E224" s="145"/>
      <c r="F224" s="580"/>
      <c r="G224" s="309"/>
      <c r="H224" s="580"/>
      <c r="I224" s="296"/>
      <c r="J224" s="376"/>
      <c r="K224" s="146"/>
      <c r="L224" s="539"/>
      <c r="M224" s="469"/>
      <c r="N224" s="373"/>
      <c r="O224" s="348" t="s">
        <v>280</v>
      </c>
      <c r="P224" s="349" t="s">
        <v>79</v>
      </c>
      <c r="Q224" s="516"/>
      <c r="R224" s="467"/>
      <c r="S224" s="517"/>
      <c r="T224" s="517"/>
      <c r="U224" s="171" t="str">
        <f>IF(ISERROR(VLOOKUP($T224, 'Reference data'!$J$2:$K$139, 2, FALSE)),"-",VLOOKUP($T224, 'Reference data'!$J$2:$K$139, 2, FALSE))</f>
        <v>-</v>
      </c>
      <c r="V224" s="147"/>
      <c r="W224" s="147"/>
      <c r="X224" s="471"/>
      <c r="Y224" s="472"/>
      <c r="Z224" s="352"/>
      <c r="AA224" s="520"/>
      <c r="AB224" s="163"/>
      <c r="AC224" s="148"/>
      <c r="AD224" s="145"/>
      <c r="AE224" s="348" t="s">
        <v>280</v>
      </c>
      <c r="AF224" s="354" t="s">
        <v>79</v>
      </c>
    </row>
    <row r="225" spans="2:32">
      <c r="B225" s="514" t="str">
        <f>IF(AND(Validator!J719=TRUE,Validator!J219=TRUE,Validator!J469,Validator!J469=TRUE,Validator!J969=TRUE,Validator!J1219=TRUE,Validator!J1469=TRUE),"Valid","Invalid")</f>
        <v>Valid</v>
      </c>
      <c r="C225" s="144"/>
      <c r="D225" s="364"/>
      <c r="E225" s="145"/>
      <c r="F225" s="580"/>
      <c r="G225" s="309"/>
      <c r="H225" s="580"/>
      <c r="I225" s="296"/>
      <c r="J225" s="376"/>
      <c r="K225" s="146"/>
      <c r="L225" s="539"/>
      <c r="M225" s="469"/>
      <c r="N225" s="373"/>
      <c r="O225" s="348" t="s">
        <v>280</v>
      </c>
      <c r="P225" s="349" t="s">
        <v>79</v>
      </c>
      <c r="Q225" s="516"/>
      <c r="R225" s="467"/>
      <c r="S225" s="517"/>
      <c r="T225" s="517"/>
      <c r="U225" s="171" t="str">
        <f>IF(ISERROR(VLOOKUP($T225, 'Reference data'!$J$2:$K$139, 2, FALSE)),"-",VLOOKUP($T225, 'Reference data'!$J$2:$K$139, 2, FALSE))</f>
        <v>-</v>
      </c>
      <c r="V225" s="147"/>
      <c r="W225" s="147"/>
      <c r="X225" s="471"/>
      <c r="Y225" s="472"/>
      <c r="Z225" s="352"/>
      <c r="AA225" s="520"/>
      <c r="AB225" s="163"/>
      <c r="AC225" s="148"/>
      <c r="AD225" s="145"/>
      <c r="AE225" s="348" t="s">
        <v>280</v>
      </c>
      <c r="AF225" s="354" t="s">
        <v>79</v>
      </c>
    </row>
    <row r="226" spans="2:32">
      <c r="B226" s="514" t="str">
        <f>IF(AND(Validator!J720=TRUE,Validator!J220=TRUE,Validator!J470,Validator!J470=TRUE,Validator!J970=TRUE,Validator!J1220=TRUE,Validator!J1470=TRUE),"Valid","Invalid")</f>
        <v>Valid</v>
      </c>
      <c r="C226" s="144"/>
      <c r="D226" s="364"/>
      <c r="E226" s="145"/>
      <c r="F226" s="580"/>
      <c r="G226" s="309"/>
      <c r="H226" s="580"/>
      <c r="I226" s="296"/>
      <c r="J226" s="376"/>
      <c r="K226" s="146"/>
      <c r="L226" s="539"/>
      <c r="M226" s="469"/>
      <c r="N226" s="373"/>
      <c r="O226" s="348" t="s">
        <v>280</v>
      </c>
      <c r="P226" s="349" t="s">
        <v>79</v>
      </c>
      <c r="Q226" s="516"/>
      <c r="R226" s="467"/>
      <c r="S226" s="517"/>
      <c r="T226" s="517"/>
      <c r="U226" s="171" t="str">
        <f>IF(ISERROR(VLOOKUP($T226, 'Reference data'!$J$2:$K$139, 2, FALSE)),"-",VLOOKUP($T226, 'Reference data'!$J$2:$K$139, 2, FALSE))</f>
        <v>-</v>
      </c>
      <c r="V226" s="147"/>
      <c r="W226" s="147"/>
      <c r="X226" s="471"/>
      <c r="Y226" s="472"/>
      <c r="Z226" s="352"/>
      <c r="AA226" s="520"/>
      <c r="AB226" s="163"/>
      <c r="AC226" s="148"/>
      <c r="AD226" s="145"/>
      <c r="AE226" s="348" t="s">
        <v>280</v>
      </c>
      <c r="AF226" s="354" t="s">
        <v>79</v>
      </c>
    </row>
    <row r="227" spans="2:32">
      <c r="B227" s="514" t="str">
        <f>IF(AND(Validator!J721=TRUE,Validator!J221=TRUE,Validator!J471,Validator!J471=TRUE,Validator!J971=TRUE,Validator!J1221=TRUE,Validator!J1471=TRUE),"Valid","Invalid")</f>
        <v>Valid</v>
      </c>
      <c r="C227" s="144"/>
      <c r="D227" s="364"/>
      <c r="E227" s="145"/>
      <c r="F227" s="580"/>
      <c r="G227" s="309"/>
      <c r="H227" s="580"/>
      <c r="I227" s="296"/>
      <c r="J227" s="376"/>
      <c r="K227" s="146"/>
      <c r="L227" s="539"/>
      <c r="M227" s="469"/>
      <c r="N227" s="373"/>
      <c r="O227" s="348" t="s">
        <v>280</v>
      </c>
      <c r="P227" s="349" t="s">
        <v>79</v>
      </c>
      <c r="Q227" s="516"/>
      <c r="R227" s="467"/>
      <c r="S227" s="517"/>
      <c r="T227" s="517"/>
      <c r="U227" s="171" t="str">
        <f>IF(ISERROR(VLOOKUP($T227, 'Reference data'!$J$2:$K$139, 2, FALSE)),"-",VLOOKUP($T227, 'Reference data'!$J$2:$K$139, 2, FALSE))</f>
        <v>-</v>
      </c>
      <c r="V227" s="147"/>
      <c r="W227" s="147"/>
      <c r="X227" s="471"/>
      <c r="Y227" s="472"/>
      <c r="Z227" s="352"/>
      <c r="AA227" s="520"/>
      <c r="AB227" s="163"/>
      <c r="AC227" s="148"/>
      <c r="AD227" s="145"/>
      <c r="AE227" s="348" t="s">
        <v>280</v>
      </c>
      <c r="AF227" s="354" t="s">
        <v>79</v>
      </c>
    </row>
    <row r="228" spans="2:32">
      <c r="B228" s="514" t="str">
        <f>IF(AND(Validator!J722=TRUE,Validator!J222=TRUE,Validator!J472,Validator!J472=TRUE,Validator!J972=TRUE,Validator!J1222=TRUE,Validator!J1472=TRUE),"Valid","Invalid")</f>
        <v>Valid</v>
      </c>
      <c r="C228" s="144"/>
      <c r="D228" s="364"/>
      <c r="E228" s="145"/>
      <c r="F228" s="580"/>
      <c r="G228" s="309"/>
      <c r="H228" s="580"/>
      <c r="I228" s="296"/>
      <c r="J228" s="376"/>
      <c r="K228" s="146"/>
      <c r="L228" s="539"/>
      <c r="M228" s="469"/>
      <c r="N228" s="373"/>
      <c r="O228" s="348" t="s">
        <v>280</v>
      </c>
      <c r="P228" s="349" t="s">
        <v>79</v>
      </c>
      <c r="Q228" s="516"/>
      <c r="R228" s="467"/>
      <c r="S228" s="517"/>
      <c r="T228" s="517"/>
      <c r="U228" s="171" t="str">
        <f>IF(ISERROR(VLOOKUP($T228, 'Reference data'!$J$2:$K$139, 2, FALSE)),"-",VLOOKUP($T228, 'Reference data'!$J$2:$K$139, 2, FALSE))</f>
        <v>-</v>
      </c>
      <c r="V228" s="147"/>
      <c r="W228" s="147"/>
      <c r="X228" s="471"/>
      <c r="Y228" s="472"/>
      <c r="Z228" s="352"/>
      <c r="AA228" s="520"/>
      <c r="AB228" s="163"/>
      <c r="AC228" s="148"/>
      <c r="AD228" s="145"/>
      <c r="AE228" s="348" t="s">
        <v>280</v>
      </c>
      <c r="AF228" s="354" t="s">
        <v>79</v>
      </c>
    </row>
    <row r="229" spans="2:32">
      <c r="B229" s="514" t="str">
        <f>IF(AND(Validator!J723=TRUE,Validator!J223=TRUE,Validator!J473,Validator!J473=TRUE,Validator!J973=TRUE,Validator!J1223=TRUE,Validator!J1473=TRUE),"Valid","Invalid")</f>
        <v>Valid</v>
      </c>
      <c r="C229" s="144"/>
      <c r="D229" s="364"/>
      <c r="E229" s="145"/>
      <c r="F229" s="580"/>
      <c r="G229" s="309"/>
      <c r="H229" s="580"/>
      <c r="I229" s="296"/>
      <c r="J229" s="376"/>
      <c r="K229" s="146"/>
      <c r="L229" s="539"/>
      <c r="M229" s="469"/>
      <c r="N229" s="373"/>
      <c r="O229" s="348" t="s">
        <v>280</v>
      </c>
      <c r="P229" s="349" t="s">
        <v>79</v>
      </c>
      <c r="Q229" s="516"/>
      <c r="R229" s="467"/>
      <c r="S229" s="517"/>
      <c r="T229" s="517"/>
      <c r="U229" s="171" t="str">
        <f>IF(ISERROR(VLOOKUP($T229, 'Reference data'!$J$2:$K$139, 2, FALSE)),"-",VLOOKUP($T229, 'Reference data'!$J$2:$K$139, 2, FALSE))</f>
        <v>-</v>
      </c>
      <c r="V229" s="147"/>
      <c r="W229" s="147"/>
      <c r="X229" s="471"/>
      <c r="Y229" s="472"/>
      <c r="Z229" s="352"/>
      <c r="AA229" s="520"/>
      <c r="AB229" s="163"/>
      <c r="AC229" s="148"/>
      <c r="AD229" s="145"/>
      <c r="AE229" s="348" t="s">
        <v>280</v>
      </c>
      <c r="AF229" s="354" t="s">
        <v>79</v>
      </c>
    </row>
    <row r="230" spans="2:32">
      <c r="B230" s="514" t="str">
        <f>IF(AND(Validator!J724=TRUE,Validator!J224=TRUE,Validator!J474,Validator!J474=TRUE,Validator!J974=TRUE,Validator!J1224=TRUE,Validator!J1474=TRUE),"Valid","Invalid")</f>
        <v>Valid</v>
      </c>
      <c r="C230" s="144"/>
      <c r="D230" s="364"/>
      <c r="E230" s="145"/>
      <c r="F230" s="580"/>
      <c r="G230" s="309"/>
      <c r="H230" s="580"/>
      <c r="I230" s="296"/>
      <c r="J230" s="376"/>
      <c r="K230" s="146"/>
      <c r="L230" s="539"/>
      <c r="M230" s="469"/>
      <c r="N230" s="373"/>
      <c r="O230" s="348" t="s">
        <v>280</v>
      </c>
      <c r="P230" s="349" t="s">
        <v>79</v>
      </c>
      <c r="Q230" s="516"/>
      <c r="R230" s="467"/>
      <c r="S230" s="517"/>
      <c r="T230" s="517"/>
      <c r="U230" s="171" t="str">
        <f>IF(ISERROR(VLOOKUP($T230, 'Reference data'!$J$2:$K$139, 2, FALSE)),"-",VLOOKUP($T230, 'Reference data'!$J$2:$K$139, 2, FALSE))</f>
        <v>-</v>
      </c>
      <c r="V230" s="147"/>
      <c r="W230" s="147"/>
      <c r="X230" s="471"/>
      <c r="Y230" s="472"/>
      <c r="Z230" s="352"/>
      <c r="AA230" s="520"/>
      <c r="AB230" s="163"/>
      <c r="AC230" s="148"/>
      <c r="AD230" s="145"/>
      <c r="AE230" s="348" t="s">
        <v>280</v>
      </c>
      <c r="AF230" s="354" t="s">
        <v>79</v>
      </c>
    </row>
    <row r="231" spans="2:32">
      <c r="B231" s="514" t="str">
        <f>IF(AND(Validator!J725=TRUE,Validator!J225=TRUE,Validator!J475,Validator!J475=TRUE,Validator!J975=TRUE,Validator!J1225=TRUE,Validator!J1475=TRUE),"Valid","Invalid")</f>
        <v>Valid</v>
      </c>
      <c r="C231" s="144"/>
      <c r="D231" s="364"/>
      <c r="E231" s="145"/>
      <c r="F231" s="580"/>
      <c r="G231" s="309"/>
      <c r="H231" s="580"/>
      <c r="I231" s="296"/>
      <c r="J231" s="376"/>
      <c r="K231" s="146"/>
      <c r="L231" s="539"/>
      <c r="M231" s="469"/>
      <c r="N231" s="373"/>
      <c r="O231" s="348" t="s">
        <v>280</v>
      </c>
      <c r="P231" s="349" t="s">
        <v>79</v>
      </c>
      <c r="Q231" s="516"/>
      <c r="R231" s="467"/>
      <c r="S231" s="517"/>
      <c r="T231" s="517"/>
      <c r="U231" s="171" t="str">
        <f>IF(ISERROR(VLOOKUP($T231, 'Reference data'!$J$2:$K$139, 2, FALSE)),"-",VLOOKUP($T231, 'Reference data'!$J$2:$K$139, 2, FALSE))</f>
        <v>-</v>
      </c>
      <c r="V231" s="147"/>
      <c r="W231" s="147"/>
      <c r="X231" s="471"/>
      <c r="Y231" s="472"/>
      <c r="Z231" s="352"/>
      <c r="AA231" s="520"/>
      <c r="AB231" s="163"/>
      <c r="AC231" s="148"/>
      <c r="AD231" s="145"/>
      <c r="AE231" s="348" t="s">
        <v>280</v>
      </c>
      <c r="AF231" s="354" t="s">
        <v>79</v>
      </c>
    </row>
    <row r="232" spans="2:32">
      <c r="B232" s="514" t="str">
        <f>IF(AND(Validator!J726=TRUE,Validator!J226=TRUE,Validator!J476,Validator!J476=TRUE,Validator!J976=TRUE,Validator!J1226=TRUE,Validator!J1476=TRUE),"Valid","Invalid")</f>
        <v>Valid</v>
      </c>
      <c r="C232" s="144"/>
      <c r="D232" s="364"/>
      <c r="E232" s="145"/>
      <c r="F232" s="580"/>
      <c r="G232" s="309"/>
      <c r="H232" s="580"/>
      <c r="I232" s="296"/>
      <c r="J232" s="376"/>
      <c r="K232" s="146"/>
      <c r="L232" s="539"/>
      <c r="M232" s="469"/>
      <c r="N232" s="373"/>
      <c r="O232" s="348" t="s">
        <v>280</v>
      </c>
      <c r="P232" s="349" t="s">
        <v>79</v>
      </c>
      <c r="Q232" s="516"/>
      <c r="R232" s="467"/>
      <c r="S232" s="517"/>
      <c r="T232" s="517"/>
      <c r="U232" s="171" t="str">
        <f>IF(ISERROR(VLOOKUP($T232, 'Reference data'!$J$2:$K$139, 2, FALSE)),"-",VLOOKUP($T232, 'Reference data'!$J$2:$K$139, 2, FALSE))</f>
        <v>-</v>
      </c>
      <c r="V232" s="147"/>
      <c r="W232" s="147"/>
      <c r="X232" s="471"/>
      <c r="Y232" s="472"/>
      <c r="Z232" s="352"/>
      <c r="AA232" s="520"/>
      <c r="AB232" s="163"/>
      <c r="AC232" s="148"/>
      <c r="AD232" s="145"/>
      <c r="AE232" s="348" t="s">
        <v>280</v>
      </c>
      <c r="AF232" s="354" t="s">
        <v>79</v>
      </c>
    </row>
    <row r="233" spans="2:32">
      <c r="B233" s="514" t="str">
        <f>IF(AND(Validator!J727=TRUE,Validator!J227=TRUE,Validator!J477,Validator!J477=TRUE,Validator!J977=TRUE,Validator!J1227=TRUE,Validator!J1477=TRUE),"Valid","Invalid")</f>
        <v>Valid</v>
      </c>
      <c r="C233" s="144"/>
      <c r="D233" s="364"/>
      <c r="E233" s="145"/>
      <c r="F233" s="580"/>
      <c r="G233" s="309"/>
      <c r="H233" s="580"/>
      <c r="I233" s="296"/>
      <c r="J233" s="376"/>
      <c r="K233" s="146"/>
      <c r="L233" s="539"/>
      <c r="M233" s="469"/>
      <c r="N233" s="373"/>
      <c r="O233" s="348" t="s">
        <v>280</v>
      </c>
      <c r="P233" s="349" t="s">
        <v>79</v>
      </c>
      <c r="Q233" s="516"/>
      <c r="R233" s="467"/>
      <c r="S233" s="517"/>
      <c r="T233" s="517"/>
      <c r="U233" s="171" t="str">
        <f>IF(ISERROR(VLOOKUP($T233, 'Reference data'!$J$2:$K$139, 2, FALSE)),"-",VLOOKUP($T233, 'Reference data'!$J$2:$K$139, 2, FALSE))</f>
        <v>-</v>
      </c>
      <c r="V233" s="147"/>
      <c r="W233" s="147"/>
      <c r="X233" s="471"/>
      <c r="Y233" s="472"/>
      <c r="Z233" s="352"/>
      <c r="AA233" s="520"/>
      <c r="AB233" s="163"/>
      <c r="AC233" s="148"/>
      <c r="AD233" s="145"/>
      <c r="AE233" s="348" t="s">
        <v>280</v>
      </c>
      <c r="AF233" s="354" t="s">
        <v>79</v>
      </c>
    </row>
    <row r="234" spans="2:32">
      <c r="B234" s="514" t="str">
        <f>IF(AND(Validator!J728=TRUE,Validator!J228=TRUE,Validator!J478,Validator!J478=TRUE,Validator!J978=TRUE,Validator!J1228=TRUE,Validator!J1478=TRUE),"Valid","Invalid")</f>
        <v>Valid</v>
      </c>
      <c r="C234" s="144"/>
      <c r="D234" s="364"/>
      <c r="E234" s="145"/>
      <c r="F234" s="580"/>
      <c r="G234" s="309"/>
      <c r="H234" s="580"/>
      <c r="I234" s="296"/>
      <c r="J234" s="376"/>
      <c r="K234" s="146"/>
      <c r="L234" s="539"/>
      <c r="M234" s="469"/>
      <c r="N234" s="373"/>
      <c r="O234" s="348" t="s">
        <v>280</v>
      </c>
      <c r="P234" s="349" t="s">
        <v>79</v>
      </c>
      <c r="Q234" s="516"/>
      <c r="R234" s="467"/>
      <c r="S234" s="517"/>
      <c r="T234" s="517"/>
      <c r="U234" s="171" t="str">
        <f>IF(ISERROR(VLOOKUP($T234, 'Reference data'!$J$2:$K$139, 2, FALSE)),"-",VLOOKUP($T234, 'Reference data'!$J$2:$K$139, 2, FALSE))</f>
        <v>-</v>
      </c>
      <c r="V234" s="147"/>
      <c r="W234" s="147"/>
      <c r="X234" s="471"/>
      <c r="Y234" s="472"/>
      <c r="Z234" s="352"/>
      <c r="AA234" s="520"/>
      <c r="AB234" s="163"/>
      <c r="AC234" s="148"/>
      <c r="AD234" s="145"/>
      <c r="AE234" s="348" t="s">
        <v>280</v>
      </c>
      <c r="AF234" s="354" t="s">
        <v>79</v>
      </c>
    </row>
    <row r="235" spans="2:32">
      <c r="B235" s="514" t="str">
        <f>IF(AND(Validator!J729=TRUE,Validator!J229=TRUE,Validator!J479,Validator!J479=TRUE,Validator!J979=TRUE,Validator!J1229=TRUE,Validator!J1479=TRUE),"Valid","Invalid")</f>
        <v>Valid</v>
      </c>
      <c r="C235" s="144"/>
      <c r="D235" s="364"/>
      <c r="E235" s="145"/>
      <c r="F235" s="580"/>
      <c r="G235" s="309"/>
      <c r="H235" s="580"/>
      <c r="I235" s="296"/>
      <c r="J235" s="376"/>
      <c r="K235" s="146"/>
      <c r="L235" s="539"/>
      <c r="M235" s="469"/>
      <c r="N235" s="373"/>
      <c r="O235" s="348" t="s">
        <v>280</v>
      </c>
      <c r="P235" s="349" t="s">
        <v>79</v>
      </c>
      <c r="Q235" s="516"/>
      <c r="R235" s="467"/>
      <c r="S235" s="517"/>
      <c r="T235" s="517"/>
      <c r="U235" s="171" t="str">
        <f>IF(ISERROR(VLOOKUP($T235, 'Reference data'!$J$2:$K$139, 2, FALSE)),"-",VLOOKUP($T235, 'Reference data'!$J$2:$K$139, 2, FALSE))</f>
        <v>-</v>
      </c>
      <c r="V235" s="147"/>
      <c r="W235" s="147"/>
      <c r="X235" s="471"/>
      <c r="Y235" s="472"/>
      <c r="Z235" s="352"/>
      <c r="AA235" s="520"/>
      <c r="AB235" s="163"/>
      <c r="AC235" s="148"/>
      <c r="AD235" s="145"/>
      <c r="AE235" s="348" t="s">
        <v>280</v>
      </c>
      <c r="AF235" s="354" t="s">
        <v>79</v>
      </c>
    </row>
    <row r="236" spans="2:32">
      <c r="B236" s="514" t="str">
        <f>IF(AND(Validator!J730=TRUE,Validator!J230=TRUE,Validator!J480,Validator!J480=TRUE,Validator!J980=TRUE,Validator!J1230=TRUE,Validator!J1480=TRUE),"Valid","Invalid")</f>
        <v>Valid</v>
      </c>
      <c r="C236" s="144"/>
      <c r="D236" s="364"/>
      <c r="E236" s="145"/>
      <c r="F236" s="580"/>
      <c r="G236" s="309"/>
      <c r="H236" s="580"/>
      <c r="I236" s="296"/>
      <c r="J236" s="376"/>
      <c r="K236" s="146"/>
      <c r="L236" s="539"/>
      <c r="M236" s="469"/>
      <c r="N236" s="373"/>
      <c r="O236" s="348" t="s">
        <v>280</v>
      </c>
      <c r="P236" s="349" t="s">
        <v>79</v>
      </c>
      <c r="Q236" s="516"/>
      <c r="R236" s="467"/>
      <c r="S236" s="517"/>
      <c r="T236" s="517"/>
      <c r="U236" s="171" t="str">
        <f>IF(ISERROR(VLOOKUP($T236, 'Reference data'!$J$2:$K$139, 2, FALSE)),"-",VLOOKUP($T236, 'Reference data'!$J$2:$K$139, 2, FALSE))</f>
        <v>-</v>
      </c>
      <c r="V236" s="147"/>
      <c r="W236" s="147"/>
      <c r="X236" s="471"/>
      <c r="Y236" s="472"/>
      <c r="Z236" s="352"/>
      <c r="AA236" s="520"/>
      <c r="AB236" s="163"/>
      <c r="AC236" s="148"/>
      <c r="AD236" s="145"/>
      <c r="AE236" s="348" t="s">
        <v>280</v>
      </c>
      <c r="AF236" s="354" t="s">
        <v>79</v>
      </c>
    </row>
    <row r="237" spans="2:32">
      <c r="B237" s="514" t="str">
        <f>IF(AND(Validator!J731=TRUE,Validator!J231=TRUE,Validator!J481,Validator!J481=TRUE,Validator!J981=TRUE,Validator!J1231=TRUE,Validator!J1481=TRUE),"Valid","Invalid")</f>
        <v>Valid</v>
      </c>
      <c r="C237" s="144"/>
      <c r="D237" s="364"/>
      <c r="E237" s="145"/>
      <c r="F237" s="580"/>
      <c r="G237" s="309"/>
      <c r="H237" s="580"/>
      <c r="I237" s="296"/>
      <c r="J237" s="376"/>
      <c r="K237" s="146"/>
      <c r="L237" s="539"/>
      <c r="M237" s="469"/>
      <c r="N237" s="373"/>
      <c r="O237" s="348" t="s">
        <v>280</v>
      </c>
      <c r="P237" s="349" t="s">
        <v>79</v>
      </c>
      <c r="Q237" s="516"/>
      <c r="R237" s="467"/>
      <c r="S237" s="517"/>
      <c r="T237" s="517"/>
      <c r="U237" s="171" t="str">
        <f>IF(ISERROR(VLOOKUP($T237, 'Reference data'!$J$2:$K$139, 2, FALSE)),"-",VLOOKUP($T237, 'Reference data'!$J$2:$K$139, 2, FALSE))</f>
        <v>-</v>
      </c>
      <c r="V237" s="147"/>
      <c r="W237" s="147"/>
      <c r="X237" s="471"/>
      <c r="Y237" s="472"/>
      <c r="Z237" s="352"/>
      <c r="AA237" s="520"/>
      <c r="AB237" s="163"/>
      <c r="AC237" s="148"/>
      <c r="AD237" s="145"/>
      <c r="AE237" s="348" t="s">
        <v>280</v>
      </c>
      <c r="AF237" s="354" t="s">
        <v>79</v>
      </c>
    </row>
    <row r="238" spans="2:32">
      <c r="B238" s="514" t="str">
        <f>IF(AND(Validator!J732=TRUE,Validator!J232=TRUE,Validator!J482,Validator!J482=TRUE,Validator!J982=TRUE,Validator!J1232=TRUE,Validator!J1482=TRUE),"Valid","Invalid")</f>
        <v>Valid</v>
      </c>
      <c r="C238" s="144"/>
      <c r="D238" s="364"/>
      <c r="E238" s="145"/>
      <c r="F238" s="580"/>
      <c r="G238" s="309"/>
      <c r="H238" s="580"/>
      <c r="I238" s="296"/>
      <c r="J238" s="376"/>
      <c r="K238" s="146"/>
      <c r="L238" s="539"/>
      <c r="M238" s="469"/>
      <c r="N238" s="373"/>
      <c r="O238" s="348" t="s">
        <v>280</v>
      </c>
      <c r="P238" s="349" t="s">
        <v>79</v>
      </c>
      <c r="Q238" s="516"/>
      <c r="R238" s="467"/>
      <c r="S238" s="517"/>
      <c r="T238" s="517"/>
      <c r="U238" s="171" t="str">
        <f>IF(ISERROR(VLOOKUP($T238, 'Reference data'!$J$2:$K$139, 2, FALSE)),"-",VLOOKUP($T238, 'Reference data'!$J$2:$K$139, 2, FALSE))</f>
        <v>-</v>
      </c>
      <c r="V238" s="147"/>
      <c r="W238" s="147"/>
      <c r="X238" s="471"/>
      <c r="Y238" s="472"/>
      <c r="Z238" s="352"/>
      <c r="AA238" s="520"/>
      <c r="AB238" s="163"/>
      <c r="AC238" s="148"/>
      <c r="AD238" s="145"/>
      <c r="AE238" s="348" t="s">
        <v>280</v>
      </c>
      <c r="AF238" s="354" t="s">
        <v>79</v>
      </c>
    </row>
    <row r="239" spans="2:32">
      <c r="B239" s="514" t="str">
        <f>IF(AND(Validator!J733=TRUE,Validator!J233=TRUE,Validator!J483,Validator!J483=TRUE,Validator!J983=TRUE,Validator!J1233=TRUE,Validator!J1483=TRUE),"Valid","Invalid")</f>
        <v>Valid</v>
      </c>
      <c r="C239" s="144"/>
      <c r="D239" s="364"/>
      <c r="E239" s="145"/>
      <c r="F239" s="580"/>
      <c r="G239" s="309"/>
      <c r="H239" s="580"/>
      <c r="I239" s="296"/>
      <c r="J239" s="376"/>
      <c r="K239" s="146"/>
      <c r="L239" s="539"/>
      <c r="M239" s="469"/>
      <c r="N239" s="373"/>
      <c r="O239" s="348" t="s">
        <v>280</v>
      </c>
      <c r="P239" s="349" t="s">
        <v>79</v>
      </c>
      <c r="Q239" s="516"/>
      <c r="R239" s="467"/>
      <c r="S239" s="517"/>
      <c r="T239" s="517"/>
      <c r="U239" s="171" t="str">
        <f>IF(ISERROR(VLOOKUP($T239, 'Reference data'!$J$2:$K$139, 2, FALSE)),"-",VLOOKUP($T239, 'Reference data'!$J$2:$K$139, 2, FALSE))</f>
        <v>-</v>
      </c>
      <c r="V239" s="147"/>
      <c r="W239" s="147"/>
      <c r="X239" s="471"/>
      <c r="Y239" s="472"/>
      <c r="Z239" s="352"/>
      <c r="AA239" s="520"/>
      <c r="AB239" s="163"/>
      <c r="AC239" s="148"/>
      <c r="AD239" s="145"/>
      <c r="AE239" s="348" t="s">
        <v>280</v>
      </c>
      <c r="AF239" s="354" t="s">
        <v>79</v>
      </c>
    </row>
    <row r="240" spans="2:32">
      <c r="B240" s="514" t="str">
        <f>IF(AND(Validator!J734=TRUE,Validator!J234=TRUE,Validator!J484,Validator!J484=TRUE,Validator!J984=TRUE,Validator!J1234=TRUE,Validator!J1484=TRUE),"Valid","Invalid")</f>
        <v>Valid</v>
      </c>
      <c r="C240" s="144"/>
      <c r="D240" s="364"/>
      <c r="E240" s="145"/>
      <c r="F240" s="580"/>
      <c r="G240" s="309"/>
      <c r="H240" s="580"/>
      <c r="I240" s="296"/>
      <c r="J240" s="376"/>
      <c r="K240" s="146"/>
      <c r="L240" s="539"/>
      <c r="M240" s="469"/>
      <c r="N240" s="373"/>
      <c r="O240" s="348" t="s">
        <v>280</v>
      </c>
      <c r="P240" s="349" t="s">
        <v>79</v>
      </c>
      <c r="Q240" s="516"/>
      <c r="R240" s="467"/>
      <c r="S240" s="517"/>
      <c r="T240" s="517"/>
      <c r="U240" s="171" t="str">
        <f>IF(ISERROR(VLOOKUP($T240, 'Reference data'!$J$2:$K$139, 2, FALSE)),"-",VLOOKUP($T240, 'Reference data'!$J$2:$K$139, 2, FALSE))</f>
        <v>-</v>
      </c>
      <c r="V240" s="147"/>
      <c r="W240" s="147"/>
      <c r="X240" s="471"/>
      <c r="Y240" s="472"/>
      <c r="Z240" s="352"/>
      <c r="AA240" s="520"/>
      <c r="AB240" s="163"/>
      <c r="AC240" s="148"/>
      <c r="AD240" s="145"/>
      <c r="AE240" s="348" t="s">
        <v>280</v>
      </c>
      <c r="AF240" s="354" t="s">
        <v>79</v>
      </c>
    </row>
    <row r="241" spans="2:32">
      <c r="B241" s="514" t="str">
        <f>IF(AND(Validator!J735=TRUE,Validator!J235=TRUE,Validator!J485,Validator!J485=TRUE,Validator!J985=TRUE,Validator!J1235=TRUE,Validator!J1485=TRUE),"Valid","Invalid")</f>
        <v>Valid</v>
      </c>
      <c r="C241" s="144"/>
      <c r="D241" s="364"/>
      <c r="E241" s="145"/>
      <c r="F241" s="580"/>
      <c r="G241" s="309"/>
      <c r="H241" s="580"/>
      <c r="I241" s="296"/>
      <c r="J241" s="376"/>
      <c r="K241" s="146"/>
      <c r="L241" s="539"/>
      <c r="M241" s="469"/>
      <c r="N241" s="373"/>
      <c r="O241" s="348" t="s">
        <v>280</v>
      </c>
      <c r="P241" s="349" t="s">
        <v>79</v>
      </c>
      <c r="Q241" s="516"/>
      <c r="R241" s="467"/>
      <c r="S241" s="517"/>
      <c r="T241" s="517"/>
      <c r="U241" s="171" t="str">
        <f>IF(ISERROR(VLOOKUP($T241, 'Reference data'!$J$2:$K$139, 2, FALSE)),"-",VLOOKUP($T241, 'Reference data'!$J$2:$K$139, 2, FALSE))</f>
        <v>-</v>
      </c>
      <c r="V241" s="147"/>
      <c r="W241" s="147"/>
      <c r="X241" s="471"/>
      <c r="Y241" s="472"/>
      <c r="Z241" s="352"/>
      <c r="AA241" s="520"/>
      <c r="AB241" s="163"/>
      <c r="AC241" s="148"/>
      <c r="AD241" s="145"/>
      <c r="AE241" s="348" t="s">
        <v>280</v>
      </c>
      <c r="AF241" s="354" t="s">
        <v>79</v>
      </c>
    </row>
    <row r="242" spans="2:32">
      <c r="B242" s="514" t="str">
        <f>IF(AND(Validator!J736=TRUE,Validator!J236=TRUE,Validator!J486,Validator!J486=TRUE,Validator!J986=TRUE,Validator!J1236=TRUE,Validator!J1486=TRUE),"Valid","Invalid")</f>
        <v>Valid</v>
      </c>
      <c r="C242" s="144"/>
      <c r="D242" s="364"/>
      <c r="E242" s="145"/>
      <c r="F242" s="580"/>
      <c r="G242" s="309"/>
      <c r="H242" s="580"/>
      <c r="I242" s="296"/>
      <c r="J242" s="376"/>
      <c r="K242" s="146"/>
      <c r="L242" s="539"/>
      <c r="M242" s="469"/>
      <c r="N242" s="373"/>
      <c r="O242" s="348" t="s">
        <v>280</v>
      </c>
      <c r="P242" s="349" t="s">
        <v>79</v>
      </c>
      <c r="Q242" s="516"/>
      <c r="R242" s="467"/>
      <c r="S242" s="517"/>
      <c r="T242" s="517"/>
      <c r="U242" s="171" t="str">
        <f>IF(ISERROR(VLOOKUP($T242, 'Reference data'!$J$2:$K$139, 2, FALSE)),"-",VLOOKUP($T242, 'Reference data'!$J$2:$K$139, 2, FALSE))</f>
        <v>-</v>
      </c>
      <c r="V242" s="147"/>
      <c r="W242" s="147"/>
      <c r="X242" s="471"/>
      <c r="Y242" s="472"/>
      <c r="Z242" s="352"/>
      <c r="AA242" s="520"/>
      <c r="AB242" s="163"/>
      <c r="AC242" s="148"/>
      <c r="AD242" s="145"/>
      <c r="AE242" s="348" t="s">
        <v>280</v>
      </c>
      <c r="AF242" s="354" t="s">
        <v>79</v>
      </c>
    </row>
    <row r="243" spans="2:32">
      <c r="B243" s="514" t="str">
        <f>IF(AND(Validator!J737=TRUE,Validator!J237=TRUE,Validator!J487,Validator!J487=TRUE,Validator!J987=TRUE,Validator!J1237=TRUE,Validator!J1487=TRUE),"Valid","Invalid")</f>
        <v>Valid</v>
      </c>
      <c r="C243" s="144"/>
      <c r="D243" s="364"/>
      <c r="E243" s="145"/>
      <c r="F243" s="580"/>
      <c r="G243" s="309"/>
      <c r="H243" s="580"/>
      <c r="I243" s="296"/>
      <c r="J243" s="376"/>
      <c r="K243" s="146"/>
      <c r="L243" s="539"/>
      <c r="M243" s="469"/>
      <c r="N243" s="373"/>
      <c r="O243" s="348" t="s">
        <v>280</v>
      </c>
      <c r="P243" s="349" t="s">
        <v>79</v>
      </c>
      <c r="Q243" s="516"/>
      <c r="R243" s="467"/>
      <c r="S243" s="517"/>
      <c r="T243" s="517"/>
      <c r="U243" s="171" t="str">
        <f>IF(ISERROR(VLOOKUP($T243, 'Reference data'!$J$2:$K$139, 2, FALSE)),"-",VLOOKUP($T243, 'Reference data'!$J$2:$K$139, 2, FALSE))</f>
        <v>-</v>
      </c>
      <c r="V243" s="147"/>
      <c r="W243" s="147"/>
      <c r="X243" s="471"/>
      <c r="Y243" s="472"/>
      <c r="Z243" s="352"/>
      <c r="AA243" s="520"/>
      <c r="AB243" s="163"/>
      <c r="AC243" s="148"/>
      <c r="AD243" s="145"/>
      <c r="AE243" s="348" t="s">
        <v>280</v>
      </c>
      <c r="AF243" s="354" t="s">
        <v>79</v>
      </c>
    </row>
    <row r="244" spans="2:32">
      <c r="B244" s="514" t="str">
        <f>IF(AND(Validator!J738=TRUE,Validator!J238=TRUE,Validator!J488,Validator!J488=TRUE,Validator!J988=TRUE,Validator!J1238=TRUE,Validator!J1488=TRUE),"Valid","Invalid")</f>
        <v>Valid</v>
      </c>
      <c r="C244" s="144"/>
      <c r="D244" s="364"/>
      <c r="E244" s="145"/>
      <c r="F244" s="580"/>
      <c r="G244" s="309"/>
      <c r="H244" s="580"/>
      <c r="I244" s="296"/>
      <c r="J244" s="376"/>
      <c r="K244" s="146"/>
      <c r="L244" s="539"/>
      <c r="M244" s="469"/>
      <c r="N244" s="373"/>
      <c r="O244" s="348" t="s">
        <v>280</v>
      </c>
      <c r="P244" s="349" t="s">
        <v>79</v>
      </c>
      <c r="Q244" s="516"/>
      <c r="R244" s="467"/>
      <c r="S244" s="517"/>
      <c r="T244" s="517"/>
      <c r="U244" s="171" t="str">
        <f>IF(ISERROR(VLOOKUP($T244, 'Reference data'!$J$2:$K$139, 2, FALSE)),"-",VLOOKUP($T244, 'Reference data'!$J$2:$K$139, 2, FALSE))</f>
        <v>-</v>
      </c>
      <c r="V244" s="147"/>
      <c r="W244" s="147"/>
      <c r="X244" s="471"/>
      <c r="Y244" s="472"/>
      <c r="Z244" s="352"/>
      <c r="AA244" s="520"/>
      <c r="AB244" s="163"/>
      <c r="AC244" s="148"/>
      <c r="AD244" s="145"/>
      <c r="AE244" s="348" t="s">
        <v>280</v>
      </c>
      <c r="AF244" s="354" t="s">
        <v>79</v>
      </c>
    </row>
    <row r="245" spans="2:32">
      <c r="B245" s="514" t="str">
        <f>IF(AND(Validator!J739=TRUE,Validator!J239=TRUE,Validator!J489,Validator!J489=TRUE,Validator!J989=TRUE,Validator!J1239=TRUE,Validator!J1489=TRUE),"Valid","Invalid")</f>
        <v>Valid</v>
      </c>
      <c r="C245" s="144"/>
      <c r="D245" s="364"/>
      <c r="E245" s="145"/>
      <c r="F245" s="580"/>
      <c r="G245" s="309"/>
      <c r="H245" s="580"/>
      <c r="I245" s="296"/>
      <c r="J245" s="376"/>
      <c r="K245" s="146"/>
      <c r="L245" s="539"/>
      <c r="M245" s="469"/>
      <c r="N245" s="373"/>
      <c r="O245" s="348" t="s">
        <v>280</v>
      </c>
      <c r="P245" s="349" t="s">
        <v>79</v>
      </c>
      <c r="Q245" s="516"/>
      <c r="R245" s="467"/>
      <c r="S245" s="517"/>
      <c r="T245" s="517"/>
      <c r="U245" s="171" t="str">
        <f>IF(ISERROR(VLOOKUP($T245, 'Reference data'!$J$2:$K$139, 2, FALSE)),"-",VLOOKUP($T245, 'Reference data'!$J$2:$K$139, 2, FALSE))</f>
        <v>-</v>
      </c>
      <c r="V245" s="147"/>
      <c r="W245" s="147"/>
      <c r="X245" s="471"/>
      <c r="Y245" s="472"/>
      <c r="Z245" s="352"/>
      <c r="AA245" s="520"/>
      <c r="AB245" s="163"/>
      <c r="AC245" s="148"/>
      <c r="AD245" s="145"/>
      <c r="AE245" s="348" t="s">
        <v>280</v>
      </c>
      <c r="AF245" s="354" t="s">
        <v>79</v>
      </c>
    </row>
    <row r="246" spans="2:32">
      <c r="B246" s="514" t="str">
        <f>IF(AND(Validator!J740=TRUE,Validator!J240=TRUE,Validator!J490,Validator!J490=TRUE,Validator!J990=TRUE,Validator!J1240=TRUE,Validator!J1490=TRUE),"Valid","Invalid")</f>
        <v>Valid</v>
      </c>
      <c r="C246" s="144"/>
      <c r="D246" s="364"/>
      <c r="E246" s="145"/>
      <c r="F246" s="580"/>
      <c r="G246" s="309"/>
      <c r="H246" s="580"/>
      <c r="I246" s="296"/>
      <c r="J246" s="376"/>
      <c r="K246" s="146"/>
      <c r="L246" s="539"/>
      <c r="M246" s="469"/>
      <c r="N246" s="373"/>
      <c r="O246" s="348" t="s">
        <v>280</v>
      </c>
      <c r="P246" s="349" t="s">
        <v>79</v>
      </c>
      <c r="Q246" s="516"/>
      <c r="R246" s="467"/>
      <c r="S246" s="517"/>
      <c r="T246" s="517"/>
      <c r="U246" s="171" t="str">
        <f>IF(ISERROR(VLOOKUP($T246, 'Reference data'!$J$2:$K$139, 2, FALSE)),"-",VLOOKUP($T246, 'Reference data'!$J$2:$K$139, 2, FALSE))</f>
        <v>-</v>
      </c>
      <c r="V246" s="147"/>
      <c r="W246" s="147"/>
      <c r="X246" s="471"/>
      <c r="Y246" s="472"/>
      <c r="Z246" s="352"/>
      <c r="AA246" s="520"/>
      <c r="AB246" s="163"/>
      <c r="AC246" s="148"/>
      <c r="AD246" s="145"/>
      <c r="AE246" s="348" t="s">
        <v>280</v>
      </c>
      <c r="AF246" s="354" t="s">
        <v>79</v>
      </c>
    </row>
    <row r="247" spans="2:32">
      <c r="B247" s="514" t="str">
        <f>IF(AND(Validator!J741=TRUE,Validator!J241=TRUE,Validator!J491,Validator!J491=TRUE,Validator!J991=TRUE,Validator!J1241=TRUE,Validator!J1491=TRUE),"Valid","Invalid")</f>
        <v>Valid</v>
      </c>
      <c r="C247" s="144"/>
      <c r="D247" s="364"/>
      <c r="E247" s="145"/>
      <c r="F247" s="580"/>
      <c r="G247" s="309"/>
      <c r="H247" s="580"/>
      <c r="I247" s="296"/>
      <c r="J247" s="376"/>
      <c r="K247" s="146"/>
      <c r="L247" s="539"/>
      <c r="M247" s="469"/>
      <c r="N247" s="373"/>
      <c r="O247" s="348" t="s">
        <v>280</v>
      </c>
      <c r="P247" s="349" t="s">
        <v>79</v>
      </c>
      <c r="Q247" s="516"/>
      <c r="R247" s="467"/>
      <c r="S247" s="517"/>
      <c r="T247" s="517"/>
      <c r="U247" s="171" t="str">
        <f>IF(ISERROR(VLOOKUP($T247, 'Reference data'!$J$2:$K$139, 2, FALSE)),"-",VLOOKUP($T247, 'Reference data'!$J$2:$K$139, 2, FALSE))</f>
        <v>-</v>
      </c>
      <c r="V247" s="147"/>
      <c r="W247" s="147"/>
      <c r="X247" s="471"/>
      <c r="Y247" s="472"/>
      <c r="Z247" s="352"/>
      <c r="AA247" s="520"/>
      <c r="AB247" s="163"/>
      <c r="AC247" s="148"/>
      <c r="AD247" s="145"/>
      <c r="AE247" s="348" t="s">
        <v>280</v>
      </c>
      <c r="AF247" s="354" t="s">
        <v>79</v>
      </c>
    </row>
    <row r="248" spans="2:32">
      <c r="B248" s="514" t="str">
        <f>IF(AND(Validator!J742=TRUE,Validator!J242=TRUE,Validator!J492,Validator!J492=TRUE,Validator!J992=TRUE,Validator!J1242=TRUE,Validator!J1492=TRUE),"Valid","Invalid")</f>
        <v>Valid</v>
      </c>
      <c r="C248" s="144"/>
      <c r="D248" s="364"/>
      <c r="E248" s="145"/>
      <c r="F248" s="580"/>
      <c r="G248" s="309"/>
      <c r="H248" s="580"/>
      <c r="I248" s="296"/>
      <c r="J248" s="376"/>
      <c r="K248" s="146"/>
      <c r="L248" s="539"/>
      <c r="M248" s="469"/>
      <c r="N248" s="373"/>
      <c r="O248" s="348" t="s">
        <v>280</v>
      </c>
      <c r="P248" s="349" t="s">
        <v>79</v>
      </c>
      <c r="Q248" s="516"/>
      <c r="R248" s="467"/>
      <c r="S248" s="517"/>
      <c r="T248" s="517"/>
      <c r="U248" s="171" t="str">
        <f>IF(ISERROR(VLOOKUP($T248, 'Reference data'!$J$2:$K$139, 2, FALSE)),"-",VLOOKUP($T248, 'Reference data'!$J$2:$K$139, 2, FALSE))</f>
        <v>-</v>
      </c>
      <c r="V248" s="147"/>
      <c r="W248" s="147"/>
      <c r="X248" s="471"/>
      <c r="Y248" s="472"/>
      <c r="Z248" s="352"/>
      <c r="AA248" s="520"/>
      <c r="AB248" s="163"/>
      <c r="AC248" s="148"/>
      <c r="AD248" s="145"/>
      <c r="AE248" s="348" t="s">
        <v>280</v>
      </c>
      <c r="AF248" s="354" t="s">
        <v>79</v>
      </c>
    </row>
    <row r="249" spans="2:32">
      <c r="B249" s="514" t="str">
        <f>IF(AND(Validator!J743=TRUE,Validator!J243=TRUE,Validator!J493,Validator!J493=TRUE,Validator!J993=TRUE,Validator!J1243=TRUE,Validator!J1493=TRUE),"Valid","Invalid")</f>
        <v>Valid</v>
      </c>
      <c r="C249" s="144"/>
      <c r="D249" s="364"/>
      <c r="E249" s="145"/>
      <c r="F249" s="580"/>
      <c r="G249" s="309"/>
      <c r="H249" s="580"/>
      <c r="I249" s="296"/>
      <c r="J249" s="376"/>
      <c r="K249" s="146"/>
      <c r="L249" s="539"/>
      <c r="M249" s="469"/>
      <c r="N249" s="373"/>
      <c r="O249" s="348" t="s">
        <v>280</v>
      </c>
      <c r="P249" s="349" t="s">
        <v>79</v>
      </c>
      <c r="Q249" s="516"/>
      <c r="R249" s="467"/>
      <c r="S249" s="517"/>
      <c r="T249" s="517"/>
      <c r="U249" s="171" t="str">
        <f>IF(ISERROR(VLOOKUP($T249, 'Reference data'!$J$2:$K$139, 2, FALSE)),"-",VLOOKUP($T249, 'Reference data'!$J$2:$K$139, 2, FALSE))</f>
        <v>-</v>
      </c>
      <c r="V249" s="147"/>
      <c r="W249" s="147"/>
      <c r="X249" s="471"/>
      <c r="Y249" s="472"/>
      <c r="Z249" s="352"/>
      <c r="AA249" s="520"/>
      <c r="AB249" s="163"/>
      <c r="AC249" s="148"/>
      <c r="AD249" s="145"/>
      <c r="AE249" s="348" t="s">
        <v>280</v>
      </c>
      <c r="AF249" s="354" t="s">
        <v>79</v>
      </c>
    </row>
    <row r="250" spans="2:32">
      <c r="B250" s="514" t="str">
        <f>IF(AND(Validator!J744=TRUE,Validator!J244=TRUE,Validator!J494,Validator!J494=TRUE,Validator!J994=TRUE,Validator!J1244=TRUE,Validator!J1494=TRUE),"Valid","Invalid")</f>
        <v>Valid</v>
      </c>
      <c r="C250" s="144"/>
      <c r="D250" s="364"/>
      <c r="E250" s="145"/>
      <c r="F250" s="580"/>
      <c r="G250" s="309"/>
      <c r="H250" s="580"/>
      <c r="I250" s="296"/>
      <c r="J250" s="376"/>
      <c r="K250" s="146"/>
      <c r="L250" s="539"/>
      <c r="M250" s="469"/>
      <c r="N250" s="373"/>
      <c r="O250" s="348" t="s">
        <v>280</v>
      </c>
      <c r="P250" s="349" t="s">
        <v>79</v>
      </c>
      <c r="Q250" s="516"/>
      <c r="R250" s="467"/>
      <c r="S250" s="517"/>
      <c r="T250" s="517"/>
      <c r="U250" s="171" t="str">
        <f>IF(ISERROR(VLOOKUP($T250, 'Reference data'!$J$2:$K$139, 2, FALSE)),"-",VLOOKUP($T250, 'Reference data'!$J$2:$K$139, 2, FALSE))</f>
        <v>-</v>
      </c>
      <c r="V250" s="147"/>
      <c r="W250" s="147"/>
      <c r="X250" s="471"/>
      <c r="Y250" s="472"/>
      <c r="Z250" s="352"/>
      <c r="AA250" s="520"/>
      <c r="AB250" s="163"/>
      <c r="AC250" s="148"/>
      <c r="AD250" s="145"/>
      <c r="AE250" s="348" t="s">
        <v>280</v>
      </c>
      <c r="AF250" s="354" t="s">
        <v>79</v>
      </c>
    </row>
    <row r="251" spans="2:32">
      <c r="B251" s="514" t="str">
        <f>IF(AND(Validator!J745=TRUE,Validator!J245=TRUE,Validator!J495,Validator!J495=TRUE,Validator!J995=TRUE,Validator!J1245=TRUE,Validator!J1495=TRUE),"Valid","Invalid")</f>
        <v>Valid</v>
      </c>
      <c r="C251" s="144"/>
      <c r="D251" s="364"/>
      <c r="E251" s="145"/>
      <c r="F251" s="580"/>
      <c r="G251" s="309"/>
      <c r="H251" s="580"/>
      <c r="I251" s="296"/>
      <c r="J251" s="376"/>
      <c r="K251" s="146"/>
      <c r="L251" s="539"/>
      <c r="M251" s="469"/>
      <c r="N251" s="373"/>
      <c r="O251" s="348" t="s">
        <v>280</v>
      </c>
      <c r="P251" s="349" t="s">
        <v>79</v>
      </c>
      <c r="Q251" s="516"/>
      <c r="R251" s="467"/>
      <c r="S251" s="517"/>
      <c r="T251" s="517"/>
      <c r="U251" s="171" t="str">
        <f>IF(ISERROR(VLOOKUP($T251, 'Reference data'!$J$2:$K$139, 2, FALSE)),"-",VLOOKUP($T251, 'Reference data'!$J$2:$K$139, 2, FALSE))</f>
        <v>-</v>
      </c>
      <c r="V251" s="147"/>
      <c r="W251" s="147"/>
      <c r="X251" s="471"/>
      <c r="Y251" s="472"/>
      <c r="Z251" s="352"/>
      <c r="AA251" s="520"/>
      <c r="AB251" s="163"/>
      <c r="AC251" s="148"/>
      <c r="AD251" s="145"/>
      <c r="AE251" s="348" t="s">
        <v>280</v>
      </c>
      <c r="AF251" s="354" t="s">
        <v>79</v>
      </c>
    </row>
    <row r="252" spans="2:32">
      <c r="B252" s="514" t="str">
        <f>IF(AND(Validator!J746=TRUE,Validator!J246=TRUE,Validator!J496,Validator!J496=TRUE,Validator!J996=TRUE,Validator!J1246=TRUE,Validator!J1496=TRUE),"Valid","Invalid")</f>
        <v>Valid</v>
      </c>
      <c r="C252" s="144"/>
      <c r="D252" s="364"/>
      <c r="E252" s="145"/>
      <c r="F252" s="580"/>
      <c r="G252" s="309"/>
      <c r="H252" s="580"/>
      <c r="I252" s="296"/>
      <c r="J252" s="376"/>
      <c r="K252" s="146"/>
      <c r="L252" s="539"/>
      <c r="M252" s="469"/>
      <c r="N252" s="373"/>
      <c r="O252" s="348" t="s">
        <v>280</v>
      </c>
      <c r="P252" s="349" t="s">
        <v>79</v>
      </c>
      <c r="Q252" s="516"/>
      <c r="R252" s="467"/>
      <c r="S252" s="517"/>
      <c r="T252" s="517"/>
      <c r="U252" s="171" t="str">
        <f>IF(ISERROR(VLOOKUP($T252, 'Reference data'!$J$2:$K$139, 2, FALSE)),"-",VLOOKUP($T252, 'Reference data'!$J$2:$K$139, 2, FALSE))</f>
        <v>-</v>
      </c>
      <c r="V252" s="147"/>
      <c r="W252" s="147"/>
      <c r="X252" s="471"/>
      <c r="Y252" s="472"/>
      <c r="Z252" s="352"/>
      <c r="AA252" s="520"/>
      <c r="AB252" s="163"/>
      <c r="AC252" s="148"/>
      <c r="AD252" s="145"/>
      <c r="AE252" s="348" t="s">
        <v>280</v>
      </c>
      <c r="AF252" s="354" t="s">
        <v>79</v>
      </c>
    </row>
    <row r="253" spans="2:32">
      <c r="B253" s="514" t="str">
        <f>IF(AND(Validator!J747=TRUE,Validator!J247=TRUE,Validator!J497,Validator!J497=TRUE,Validator!J997=TRUE,Validator!J1247=TRUE,Validator!J1497=TRUE),"Valid","Invalid")</f>
        <v>Valid</v>
      </c>
      <c r="C253" s="144"/>
      <c r="D253" s="364"/>
      <c r="E253" s="145"/>
      <c r="F253" s="580"/>
      <c r="G253" s="309"/>
      <c r="H253" s="580"/>
      <c r="I253" s="296"/>
      <c r="J253" s="376"/>
      <c r="K253" s="146"/>
      <c r="L253" s="539"/>
      <c r="M253" s="469"/>
      <c r="N253" s="373"/>
      <c r="O253" s="348" t="s">
        <v>280</v>
      </c>
      <c r="P253" s="349" t="s">
        <v>79</v>
      </c>
      <c r="Q253" s="516"/>
      <c r="R253" s="467"/>
      <c r="S253" s="517"/>
      <c r="T253" s="517"/>
      <c r="U253" s="171" t="str">
        <f>IF(ISERROR(VLOOKUP($T253, 'Reference data'!$J$2:$K$139, 2, FALSE)),"-",VLOOKUP($T253, 'Reference data'!$J$2:$K$139, 2, FALSE))</f>
        <v>-</v>
      </c>
      <c r="V253" s="147"/>
      <c r="W253" s="147"/>
      <c r="X253" s="471"/>
      <c r="Y253" s="472"/>
      <c r="Z253" s="352"/>
      <c r="AA253" s="520"/>
      <c r="AB253" s="163"/>
      <c r="AC253" s="148"/>
      <c r="AD253" s="145"/>
      <c r="AE253" s="348" t="s">
        <v>280</v>
      </c>
      <c r="AF253" s="354" t="s">
        <v>79</v>
      </c>
    </row>
    <row r="254" spans="2:32">
      <c r="B254" s="514" t="str">
        <f>IF(AND(Validator!J748=TRUE,Validator!J248=TRUE,Validator!J498,Validator!J498=TRUE,Validator!J998=TRUE,Validator!J1248=TRUE,Validator!J1498=TRUE),"Valid","Invalid")</f>
        <v>Valid</v>
      </c>
      <c r="C254" s="144"/>
      <c r="D254" s="364"/>
      <c r="E254" s="145"/>
      <c r="F254" s="580"/>
      <c r="G254" s="309"/>
      <c r="H254" s="580"/>
      <c r="I254" s="296"/>
      <c r="J254" s="376"/>
      <c r="K254" s="146"/>
      <c r="L254" s="539"/>
      <c r="M254" s="469"/>
      <c r="N254" s="373"/>
      <c r="O254" s="348" t="s">
        <v>280</v>
      </c>
      <c r="P254" s="349" t="s">
        <v>79</v>
      </c>
      <c r="Q254" s="516"/>
      <c r="R254" s="467"/>
      <c r="S254" s="517"/>
      <c r="T254" s="517"/>
      <c r="U254" s="171" t="str">
        <f>IF(ISERROR(VLOOKUP($T254, 'Reference data'!$J$2:$K$139, 2, FALSE)),"-",VLOOKUP($T254, 'Reference data'!$J$2:$K$139, 2, FALSE))</f>
        <v>-</v>
      </c>
      <c r="V254" s="147"/>
      <c r="W254" s="147"/>
      <c r="X254" s="471"/>
      <c r="Y254" s="472"/>
      <c r="Z254" s="352"/>
      <c r="AA254" s="520"/>
      <c r="AB254" s="163"/>
      <c r="AC254" s="148"/>
      <c r="AD254" s="145"/>
      <c r="AE254" s="348" t="s">
        <v>280</v>
      </c>
      <c r="AF254" s="354" t="s">
        <v>79</v>
      </c>
    </row>
    <row r="255" spans="2:32">
      <c r="B255" s="514" t="str">
        <f>IF(AND(Validator!J749=TRUE,Validator!J249=TRUE,Validator!J499,Validator!J499=TRUE,Validator!J999=TRUE,Validator!J1249=TRUE,Validator!J1499=TRUE),"Valid","Invalid")</f>
        <v>Valid</v>
      </c>
      <c r="C255" s="144"/>
      <c r="D255" s="364"/>
      <c r="E255" s="145"/>
      <c r="F255" s="580"/>
      <c r="G255" s="309"/>
      <c r="H255" s="580"/>
      <c r="I255" s="296"/>
      <c r="J255" s="376"/>
      <c r="K255" s="146"/>
      <c r="L255" s="539"/>
      <c r="M255" s="469"/>
      <c r="N255" s="373"/>
      <c r="O255" s="348" t="s">
        <v>280</v>
      </c>
      <c r="P255" s="349" t="s">
        <v>79</v>
      </c>
      <c r="Q255" s="516"/>
      <c r="R255" s="467"/>
      <c r="S255" s="517"/>
      <c r="T255" s="517"/>
      <c r="U255" s="171" t="str">
        <f>IF(ISERROR(VLOOKUP($T255, 'Reference data'!$J$2:$K$139, 2, FALSE)),"-",VLOOKUP($T255, 'Reference data'!$J$2:$K$139, 2, FALSE))</f>
        <v>-</v>
      </c>
      <c r="V255" s="147"/>
      <c r="W255" s="147"/>
      <c r="X255" s="471"/>
      <c r="Y255" s="472"/>
      <c r="Z255" s="352"/>
      <c r="AA255" s="520"/>
      <c r="AB255" s="163"/>
      <c r="AC255" s="148"/>
      <c r="AD255" s="145"/>
      <c r="AE255" s="348" t="s">
        <v>280</v>
      </c>
      <c r="AF255" s="354" t="s">
        <v>79</v>
      </c>
    </row>
    <row r="256" spans="2:32">
      <c r="B256" s="514" t="str">
        <f>IF(AND(Validator!J750=TRUE,Validator!J250=TRUE,Validator!J500,Validator!J500=TRUE,Validator!J1000=TRUE,Validator!J1250=TRUE,Validator!J1500=TRUE),"Valid","Invalid")</f>
        <v>Valid</v>
      </c>
      <c r="C256" s="144"/>
      <c r="D256" s="364"/>
      <c r="E256" s="145"/>
      <c r="F256" s="580"/>
      <c r="G256" s="309"/>
      <c r="H256" s="580"/>
      <c r="I256" s="296"/>
      <c r="J256" s="376"/>
      <c r="K256" s="146"/>
      <c r="L256" s="539"/>
      <c r="M256" s="469"/>
      <c r="N256" s="373"/>
      <c r="O256" s="348" t="s">
        <v>280</v>
      </c>
      <c r="P256" s="349" t="s">
        <v>79</v>
      </c>
      <c r="Q256" s="516"/>
      <c r="R256" s="467"/>
      <c r="S256" s="517"/>
      <c r="T256" s="517"/>
      <c r="U256" s="171" t="str">
        <f>IF(ISERROR(VLOOKUP($T256, 'Reference data'!$J$2:$K$139, 2, FALSE)),"-",VLOOKUP($T256, 'Reference data'!$J$2:$K$139, 2, FALSE))</f>
        <v>-</v>
      </c>
      <c r="V256" s="147"/>
      <c r="W256" s="147"/>
      <c r="X256" s="471"/>
      <c r="Y256" s="472"/>
      <c r="Z256" s="352"/>
      <c r="AA256" s="520"/>
      <c r="AB256" s="163"/>
      <c r="AC256" s="148"/>
      <c r="AD256" s="145"/>
      <c r="AE256" s="348" t="s">
        <v>280</v>
      </c>
      <c r="AF256" s="354" t="s">
        <v>79</v>
      </c>
    </row>
    <row r="257" spans="2:32">
      <c r="B257" s="514" t="str">
        <f>IF(AND(Validator!J751=TRUE,Validator!J251=TRUE,Validator!J501,Validator!J501=TRUE,Validator!J1001=TRUE,Validator!J1251=TRUE,Validator!J1501=TRUE),"Valid","Invalid")</f>
        <v>Valid</v>
      </c>
      <c r="C257" s="144"/>
      <c r="D257" s="364"/>
      <c r="E257" s="145"/>
      <c r="F257" s="580"/>
      <c r="G257" s="309"/>
      <c r="H257" s="580"/>
      <c r="I257" s="296"/>
      <c r="J257" s="376"/>
      <c r="K257" s="146"/>
      <c r="L257" s="539"/>
      <c r="M257" s="469"/>
      <c r="N257" s="373"/>
      <c r="O257" s="348" t="s">
        <v>280</v>
      </c>
      <c r="P257" s="349" t="s">
        <v>79</v>
      </c>
      <c r="Q257" s="516"/>
      <c r="R257" s="467"/>
      <c r="S257" s="517"/>
      <c r="T257" s="517"/>
      <c r="U257" s="171" t="str">
        <f>IF(ISERROR(VLOOKUP($T257, 'Reference data'!$J$2:$K$139, 2, FALSE)),"-",VLOOKUP($T257, 'Reference data'!$J$2:$K$139, 2, FALSE))</f>
        <v>-</v>
      </c>
      <c r="V257" s="147"/>
      <c r="W257" s="147"/>
      <c r="X257" s="471"/>
      <c r="Y257" s="472"/>
      <c r="Z257" s="352"/>
      <c r="AA257" s="520"/>
      <c r="AB257" s="163"/>
      <c r="AC257" s="148"/>
      <c r="AD257" s="145"/>
      <c r="AE257" s="348" t="s">
        <v>280</v>
      </c>
      <c r="AF257" s="354" t="s">
        <v>79</v>
      </c>
    </row>
    <row r="258" spans="2:32">
      <c r="B258" s="514" t="str">
        <f>IF(AND(Validator!J752=TRUE,Validator!J252=TRUE,Validator!J502,Validator!J502=TRUE,Validator!J1002=TRUE,Validator!J1252=TRUE,Validator!J1502=TRUE),"Valid","Invalid")</f>
        <v>Valid</v>
      </c>
      <c r="C258" s="144"/>
      <c r="D258" s="364"/>
      <c r="E258" s="145"/>
      <c r="F258" s="580"/>
      <c r="G258" s="309"/>
      <c r="H258" s="580"/>
      <c r="I258" s="296"/>
      <c r="J258" s="376"/>
      <c r="K258" s="146"/>
      <c r="L258" s="539"/>
      <c r="M258" s="469"/>
      <c r="N258" s="373"/>
      <c r="O258" s="348" t="s">
        <v>280</v>
      </c>
      <c r="P258" s="349" t="s">
        <v>79</v>
      </c>
      <c r="Q258" s="516"/>
      <c r="R258" s="467"/>
      <c r="S258" s="517"/>
      <c r="T258" s="517"/>
      <c r="U258" s="171" t="str">
        <f>IF(ISERROR(VLOOKUP($T258, 'Reference data'!$J$2:$K$139, 2, FALSE)),"-",VLOOKUP($T258, 'Reference data'!$J$2:$K$139, 2, FALSE))</f>
        <v>-</v>
      </c>
      <c r="V258" s="147"/>
      <c r="W258" s="147"/>
      <c r="X258" s="471"/>
      <c r="Y258" s="472"/>
      <c r="Z258" s="352"/>
      <c r="AA258" s="520"/>
      <c r="AB258" s="163"/>
      <c r="AC258" s="148"/>
      <c r="AD258" s="145"/>
      <c r="AE258" s="348" t="s">
        <v>280</v>
      </c>
      <c r="AF258" s="354" t="s">
        <v>79</v>
      </c>
    </row>
    <row r="259" spans="2:32">
      <c r="B259" s="514" t="str">
        <f>IF(AND(Validator!J753=TRUE,Validator!J253=TRUE,Validator!J503,Validator!J503=TRUE,Validator!J1003=TRUE,Validator!J1253=TRUE,Validator!J1503=TRUE),"Valid","Invalid")</f>
        <v>Valid</v>
      </c>
      <c r="C259" s="144"/>
      <c r="D259" s="364"/>
      <c r="E259" s="145"/>
      <c r="F259" s="580"/>
      <c r="G259" s="309"/>
      <c r="H259" s="580"/>
      <c r="I259" s="296"/>
      <c r="J259" s="376"/>
      <c r="K259" s="146"/>
      <c r="L259" s="539"/>
      <c r="M259" s="469"/>
      <c r="N259" s="373"/>
      <c r="O259" s="348" t="s">
        <v>280</v>
      </c>
      <c r="P259" s="349" t="s">
        <v>79</v>
      </c>
      <c r="Q259" s="516"/>
      <c r="R259" s="467"/>
      <c r="S259" s="517"/>
      <c r="T259" s="517"/>
      <c r="U259" s="171" t="str">
        <f>IF(ISERROR(VLOOKUP($T259, 'Reference data'!$J$2:$K$139, 2, FALSE)),"-",VLOOKUP($T259, 'Reference data'!$J$2:$K$139, 2, FALSE))</f>
        <v>-</v>
      </c>
      <c r="V259" s="147"/>
      <c r="W259" s="147"/>
      <c r="X259" s="471"/>
      <c r="Y259" s="472"/>
      <c r="Z259" s="352"/>
      <c r="AA259" s="520"/>
      <c r="AB259" s="163"/>
      <c r="AC259" s="148"/>
      <c r="AD259" s="145"/>
      <c r="AE259" s="348" t="s">
        <v>280</v>
      </c>
      <c r="AF259" s="354" t="s">
        <v>79</v>
      </c>
    </row>
    <row r="260" spans="2:32">
      <c r="B260" s="514" t="str">
        <f>IF(AND(Validator!J754=TRUE,Validator!J254=TRUE,Validator!J504,Validator!J504=TRUE,Validator!J1004=TRUE,Validator!J1254=TRUE,Validator!J1504=TRUE),"Valid","Invalid")</f>
        <v>Valid</v>
      </c>
      <c r="C260" s="144"/>
      <c r="D260" s="364"/>
      <c r="E260" s="145"/>
      <c r="F260" s="580"/>
      <c r="G260" s="309"/>
      <c r="H260" s="580"/>
      <c r="I260" s="296"/>
      <c r="J260" s="376"/>
      <c r="K260" s="146"/>
      <c r="L260" s="539"/>
      <c r="M260" s="469"/>
      <c r="N260" s="373"/>
      <c r="O260" s="348" t="s">
        <v>280</v>
      </c>
      <c r="P260" s="349" t="s">
        <v>79</v>
      </c>
      <c r="Q260" s="516"/>
      <c r="R260" s="467"/>
      <c r="S260" s="517"/>
      <c r="T260" s="517"/>
      <c r="U260" s="171" t="str">
        <f>IF(ISERROR(VLOOKUP($T260, 'Reference data'!$J$2:$K$139, 2, FALSE)),"-",VLOOKUP($T260, 'Reference data'!$J$2:$K$139, 2, FALSE))</f>
        <v>-</v>
      </c>
      <c r="V260" s="147"/>
      <c r="W260" s="147"/>
      <c r="X260" s="471"/>
      <c r="Y260" s="472"/>
      <c r="Z260" s="352"/>
      <c r="AA260" s="520"/>
      <c r="AB260" s="163"/>
      <c r="AC260" s="148"/>
      <c r="AD260" s="145"/>
      <c r="AE260" s="348" t="s">
        <v>280</v>
      </c>
      <c r="AF260" s="354" t="s">
        <v>79</v>
      </c>
    </row>
    <row r="261" spans="2:32">
      <c r="B261" s="514" t="str">
        <f>IF(AND(Validator!J755=TRUE,Validator!J255=TRUE,Validator!J505,Validator!J505=TRUE,Validator!J1005=TRUE,Validator!J1255=TRUE,Validator!J1505=TRUE),"Valid","Invalid")</f>
        <v>Valid</v>
      </c>
      <c r="C261" s="144"/>
      <c r="D261" s="364"/>
      <c r="E261" s="145"/>
      <c r="F261" s="580"/>
      <c r="G261" s="309"/>
      <c r="H261" s="580"/>
      <c r="I261" s="296"/>
      <c r="J261" s="376"/>
      <c r="K261" s="146"/>
      <c r="L261" s="539"/>
      <c r="M261" s="469"/>
      <c r="N261" s="373"/>
      <c r="O261" s="348" t="s">
        <v>280</v>
      </c>
      <c r="P261" s="349" t="s">
        <v>79</v>
      </c>
      <c r="Q261" s="516"/>
      <c r="R261" s="467"/>
      <c r="S261" s="517"/>
      <c r="T261" s="517"/>
      <c r="U261" s="171" t="str">
        <f>IF(ISERROR(VLOOKUP($T261, 'Reference data'!$J$2:$K$139, 2, FALSE)),"-",VLOOKUP($T261, 'Reference data'!$J$2:$K$139, 2, FALSE))</f>
        <v>-</v>
      </c>
      <c r="V261" s="147"/>
      <c r="W261" s="147"/>
      <c r="X261" s="471"/>
      <c r="Y261" s="472"/>
      <c r="Z261" s="352"/>
      <c r="AA261" s="520"/>
      <c r="AB261" s="163"/>
      <c r="AC261" s="148"/>
      <c r="AD261" s="145"/>
      <c r="AE261" s="348" t="s">
        <v>280</v>
      </c>
      <c r="AF261" s="354" t="s">
        <v>79</v>
      </c>
    </row>
    <row r="262" spans="2:32">
      <c r="B262" s="514" t="str">
        <f>IF(AND(Validator!J756=TRUE,Validator!J256=TRUE,Validator!J506,Validator!J506=TRUE,Validator!J1006=TRUE,Validator!J1256=TRUE,Validator!J1506=TRUE),"Valid","Invalid")</f>
        <v>Valid</v>
      </c>
      <c r="C262" s="144"/>
      <c r="D262" s="364"/>
      <c r="E262" s="145"/>
      <c r="F262" s="580"/>
      <c r="G262" s="309"/>
      <c r="H262" s="580"/>
      <c r="I262" s="296"/>
      <c r="J262" s="376"/>
      <c r="K262" s="146"/>
      <c r="L262" s="539"/>
      <c r="M262" s="469"/>
      <c r="N262" s="373"/>
      <c r="O262" s="348" t="s">
        <v>280</v>
      </c>
      <c r="P262" s="349" t="s">
        <v>79</v>
      </c>
      <c r="Q262" s="516"/>
      <c r="R262" s="467"/>
      <c r="S262" s="517"/>
      <c r="T262" s="517"/>
      <c r="U262" s="171" t="str">
        <f>IF(ISERROR(VLOOKUP($T262, 'Reference data'!$J$2:$K$139, 2, FALSE)),"-",VLOOKUP($T262, 'Reference data'!$J$2:$K$139, 2, FALSE))</f>
        <v>-</v>
      </c>
      <c r="V262" s="147"/>
      <c r="W262" s="147"/>
      <c r="X262" s="471"/>
      <c r="Y262" s="472"/>
      <c r="Z262" s="352"/>
      <c r="AA262" s="520"/>
      <c r="AB262" s="163"/>
      <c r="AC262" s="148"/>
      <c r="AD262" s="145"/>
      <c r="AE262" s="348" t="s">
        <v>280</v>
      </c>
      <c r="AF262" s="354" t="s">
        <v>79</v>
      </c>
    </row>
    <row r="263" spans="2:32" ht="13.8" thickBot="1">
      <c r="B263" s="515" t="str">
        <f>IF(AND(Validator!J757=TRUE,Validator!J257=TRUE,Validator!J507,Validator!J507=TRUE,Validator!J1007=TRUE,Validator!J1257=TRUE,Validator!J1507=TRUE),"Valid","Invalid")</f>
        <v>Valid</v>
      </c>
      <c r="C263" s="149"/>
      <c r="D263" s="365"/>
      <c r="E263" s="150"/>
      <c r="F263" s="580"/>
      <c r="G263" s="312"/>
      <c r="H263" s="580"/>
      <c r="I263" s="301"/>
      <c r="J263" s="377"/>
      <c r="K263" s="151"/>
      <c r="L263" s="540"/>
      <c r="M263" s="470"/>
      <c r="N263" s="374"/>
      <c r="O263" s="350" t="s">
        <v>280</v>
      </c>
      <c r="P263" s="351" t="s">
        <v>79</v>
      </c>
      <c r="Q263" s="518"/>
      <c r="R263" s="467"/>
      <c r="S263" s="519"/>
      <c r="T263" s="519"/>
      <c r="U263" s="172" t="str">
        <f>IF(ISERROR(VLOOKUP($T263, 'Reference data'!$J$2:$K$139, 2, FALSE)),"-",VLOOKUP($T263, 'Reference data'!$J$2:$K$139, 2, FALSE))</f>
        <v>-</v>
      </c>
      <c r="V263" s="152"/>
      <c r="W263" s="152"/>
      <c r="X263" s="473"/>
      <c r="Y263" s="474"/>
      <c r="Z263" s="353"/>
      <c r="AA263" s="521"/>
      <c r="AB263" s="164"/>
      <c r="AC263" s="153"/>
      <c r="AD263" s="153"/>
      <c r="AE263" s="350" t="s">
        <v>280</v>
      </c>
      <c r="AF263" s="355" t="s">
        <v>79</v>
      </c>
    </row>
    <row r="264" spans="2:32" ht="13.8" thickTop="1"/>
    <row r="265" spans="2:32" hidden="1">
      <c r="B265" s="264" t="s">
        <v>2407</v>
      </c>
      <c r="C265" s="587" t="s">
        <v>2437</v>
      </c>
    </row>
  </sheetData>
  <sheetProtection algorithmName="SHA-512" hashValue="6kDeFtwTzoaTCX26M02klcu4woMFQWjqY49jLfs7SSDf+thtauFiOi1j0M47L6K4skzNFGWxGWQCg5lVtdALkQ==" saltValue="pDXHbTJEbkqrjMhA8nmcjQ==" spinCount="100000" sheet="1" formatCells="0" formatColumns="0" formatRows="0" selectLockedCells="1"/>
  <mergeCells count="25">
    <mergeCell ref="C12:H12"/>
    <mergeCell ref="I12:Y12"/>
    <mergeCell ref="Z12:AF12"/>
    <mergeCell ref="G7:H7"/>
    <mergeCell ref="G8:H8"/>
    <mergeCell ref="G9:H9"/>
    <mergeCell ref="G10:H10"/>
    <mergeCell ref="U6:V7"/>
    <mergeCell ref="U8:V8"/>
    <mergeCell ref="J7:K7"/>
    <mergeCell ref="J8:K8"/>
    <mergeCell ref="J9:K9"/>
    <mergeCell ref="N7:S7"/>
    <mergeCell ref="N8:S8"/>
    <mergeCell ref="AC5:AF9"/>
    <mergeCell ref="U9:V9"/>
    <mergeCell ref="W8:AA8"/>
    <mergeCell ref="W9:AA9"/>
    <mergeCell ref="L8:M8"/>
    <mergeCell ref="U5:AA5"/>
    <mergeCell ref="B5:D5"/>
    <mergeCell ref="L6:S6"/>
    <mergeCell ref="E6:K6"/>
    <mergeCell ref="E5:S5"/>
    <mergeCell ref="L7:M7"/>
  </mergeCells>
  <conditionalFormatting sqref="U14:U263">
    <cfRule type="containsErrors" dxfId="75" priority="126">
      <formula>ISERROR(U14)</formula>
    </cfRule>
  </conditionalFormatting>
  <conditionalFormatting sqref="B14:B263">
    <cfRule type="expression" dxfId="74" priority="14">
      <formula>B14="Invalid"</formula>
    </cfRule>
  </conditionalFormatting>
  <conditionalFormatting sqref="K2">
    <cfRule type="expression" dxfId="73" priority="6">
      <formula>OHZ_STATUS="Empty"</formula>
    </cfRule>
    <cfRule type="expression" dxfId="72" priority="12">
      <formula>OHZ_STATUS="VALID"</formula>
    </cfRule>
    <cfRule type="expression" dxfId="71" priority="13">
      <formula>OHZ_STATUS="Invalid"</formula>
    </cfRule>
  </conditionalFormatting>
  <conditionalFormatting sqref="AA14:AA263">
    <cfRule type="expression" dxfId="70" priority="611">
      <formula>$Z14="TEU"</formula>
    </cfRule>
  </conditionalFormatting>
  <conditionalFormatting sqref="W8">
    <cfRule type="containsErrors" dxfId="69" priority="10">
      <formula>ISERROR(W8)</formula>
    </cfRule>
  </conditionalFormatting>
  <conditionalFormatting sqref="W9">
    <cfRule type="containsErrors" dxfId="68" priority="9">
      <formula>ISERROR(W9)</formula>
    </cfRule>
  </conditionalFormatting>
  <conditionalFormatting sqref="T14:T263 Q14:Q263 X14:Y263">
    <cfRule type="expression" dxfId="67" priority="615">
      <formula>$J14="IMDG"</formula>
    </cfRule>
  </conditionalFormatting>
  <conditionalFormatting sqref="M14:M263">
    <cfRule type="expression" dxfId="66" priority="618">
      <formula>OR($J14="IMDG",$J14="IBC",$J14="IMSBC",$J14="BC")</formula>
    </cfRule>
  </conditionalFormatting>
  <conditionalFormatting sqref="L14:L263">
    <cfRule type="expression" dxfId="65" priority="619">
      <formula>OR($J14="IMDG", $J14="BC", $J14="IMSBC")</formula>
    </cfRule>
  </conditionalFormatting>
  <conditionalFormatting sqref="S14:S263">
    <cfRule type="expression" dxfId="64" priority="620">
      <formula>OR($J14="IMDG", $J14="IBC")</formula>
    </cfRule>
  </conditionalFormatting>
  <conditionalFormatting sqref="R14:R263">
    <cfRule type="expression" dxfId="63" priority="621">
      <formula>OR($J14="IMDG",$J14="IBC",$J14="MARPOL_ANNEX_1")</formula>
    </cfRule>
  </conditionalFormatting>
  <conditionalFormatting sqref="I13:K13 N13:P13">
    <cfRule type="expression" dxfId="62" priority="7">
      <formula>OHZ_DET_HAZONBOARD="Yes"</formula>
    </cfRule>
  </conditionalFormatting>
  <conditionalFormatting sqref="C13">
    <cfRule type="expression" dxfId="61" priority="5">
      <formula>OHZ_DET_HAZONBOARD="Yes"</formula>
    </cfRule>
  </conditionalFormatting>
  <conditionalFormatting sqref="I7">
    <cfRule type="expression" dxfId="60" priority="4">
      <formula xml:space="preserve"> OR( OHZ_CON_FIRSTNAME&lt;&gt;"", OHZ_CON_LASTNAME&lt;&gt;"", OHZ_CON_LOCODE&lt;&gt;"", OHZ_CON_PHONE&lt;&gt;"", OHZ_CON_FAX&lt;&gt;"", OHZ_CON_EMAIL&lt;&gt;"", )</formula>
    </cfRule>
  </conditionalFormatting>
  <conditionalFormatting sqref="G10">
    <cfRule type="containsErrors" dxfId="59" priority="3">
      <formula>ISERROR(G10)</formula>
    </cfRule>
  </conditionalFormatting>
  <conditionalFormatting sqref="F14:F263">
    <cfRule type="containsErrors" dxfId="58" priority="2">
      <formula>ISERROR(F14)</formula>
    </cfRule>
  </conditionalFormatting>
  <conditionalFormatting sqref="H14:H263">
    <cfRule type="containsErrors" dxfId="57" priority="1">
      <formula>ISERROR(H14)</formula>
    </cfRule>
  </conditionalFormatting>
  <dataValidations xWindow="429" yWindow="873"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allowBlank="1" error="Port name is not recognised" sqref="G1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formula1>"TEU,Non-TEU"</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whole" allowBlank="1" showInputMessage="1" showErrorMessage="1" errorTitle="Invalid Input" error="Must be whole number"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whole" allowBlank="1" showInputMessage="1" showErrorMessage="1" errorTitle="Invalid Input" error="Must be whole number" promptTitle="Total packages" prompt="The total number of packages on all cargo units_x000a_covered by this cargo item_x000a__x000a_Must be a whole number" sqref="V14:V263">
      <formula1>0</formula1>
      <formula2>99999999999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textLength" operator="equal" allowBlank="1" showInputMessage="1" showErrorMessage="1" errorTitle="Error" error=" Must be 4 characters." promptTitle="UN number" prompt="UN number of DPG item_x000a__x000a_Must be 4 characters" sqref="M14:M263">
      <formula1>4</formula1>
    </dataValidation>
    <dataValidation allowBlank="1" showInputMessage="1" showErrorMessage="1" promptTitle="Package code" prompt="Choose package type to display the correct package code" sqref="U14:U263"/>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custom" allowBlank="1" showInputMessage="1" showErrorMessage="1" errorTitle="Invalid Input" error="Must be a number, max three decimal places" promptTitle="Amount" prompt="Indicate quanity of goods in transport unit_x000a__x000a_Must be a number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formula1>Units_description</formula1>
    </dataValidation>
    <dataValidation type="custom" allowBlank="1" showInputMessage="1" showErrorMessage="1" errorTitle="Invalid Input" error="Number, max 3 decimal places." promptTitle="Total amount" prompt="Enter quanity of the DPG item on board_x000a__x000a_Must be a number with a maximum of 3 decimal places" sqref="N14:N263">
      <formula1>IF(OR(ISBLANK(N14),AND(ISNUMBER(N14),LEN(N14)-(IF(ISNUMBER(SEARCH(".",N14)),SEARCH(".",N14),LEN(N14)))&lt;=3,N14&lt;=9999999999999)),TRUE(),FALSE())</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custom" showInputMessage="1" showErrorMessage="1" error="Only numerals (0-9) and (&quot;+&quot;) are allowed" promptTitle="Fax" prompt="The Fax of the cargo contact person _x000a__x000a_Include country code_x000a__x000a_Max 16 characters. Only numerals (0-9) and (&quot;+&quot;) are allowed" sqref="J8">
      <formula1>AND(ISNUMBER(SUMPRODUCT(SEARCH(MID(OHZ_CON_FAX,ROW(INDIRECT("1:"&amp;LEN(OHZ_CON_FAX))),1),"0123456789+"))),LEN(OHZ_CON_FAX)&lt;=16)</formula1>
    </dataValidation>
    <dataValidation type="custom" showInputMessage="1" showErrorMessage="1" error="Must contain an &quot;@&quot;, can not contain spaces and must be less than 50 characters." promptTitle="Email" prompt="The email of the cargo contact person_x000a__x000a_Must contain an &quot;@&quot;, can not contain spaces and must be less than 50 characters" sqref="J9">
      <formula1>IF(OR(ISBLANK(INDEX(OHZ_CON_EMAIL,1,1)),AND(NOT(ISERROR(SEARCH("@",INDEX(OHZ_CON_EMAIL,1,1)))),ISERROR(SEARCH(" ",INDEX(OHZ_CON_EMAIL,1,1))),LEN(INDEX(OHZ_CON_EMAIL,1,1))&lt;=50)),TRUE(),FALSE())</formula1>
    </dataValidation>
    <dataValidation type="list" allowBlank="1" showInputMessage="1" showErrorMessage="1" error="Select from dropdown" promptTitle="Hazmat on board" prompt="Whether the vessel has any Hazmat on board_x000a__x000a_Choose from dropdown menu" sqref="D6">
      <formula1>REF_YES_NO</formula1>
    </dataValidation>
    <dataValidation type="textLength" operator="equal" allowBlank="1" showDropDown="1" showInputMessage="1" showErrorMessage="1" errorTitle="Error" error="Invalid LOCODE, must be 5 characters." promptTitle="Port LOCODE" prompt="The LOCODE for the port of the cargo contact person_x000a__x000a_Use the LOCODE lookup to find the correct code_x000a__x000a_Must be valid LOCODE" sqref="G9:H9">
      <formula1>5</formula1>
    </dataValidation>
    <dataValidation type="custom" showInputMessage="1" showErrorMessage="1" error="Only numerals (0-9) and (&quot;+&quot;) are allowed" promptTitle="Phone" prompt="The Phone number of the cargo contact person_x000a__x000a_Include country code_x000a__x000a_Max 16 characters. Only numerals (0-9) and (&quot;+&quot;) are allowed" sqref="J7">
      <formula1>AND(ISNUMBER(SUMPRODUCT(SEARCH(MID(INDEX(OHZ_CON_PHONE,1,1),ROW(INDIRECT("1:"&amp;LEN(INDEX(OHZ_CON_PHONE,1,1)))),1),"0123456789+"))),LEN(INDEX(OHZ_CON_PHONE,1,1))&lt;=16)</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18">
      <formula1>REF_DG_CLASSIFICATION</formula1>
    </dataValidation>
    <dataValidation type="custom" allowBlank="1" showInputMessage="1" showErrorMessage="1" errorTitle="Invalid input" error="Must be number, max 3 decimal places." promptTitle="Flash point" prompt="The temperature in degrees Celsius at which a liquid will give_x000a_off enough flammable vapour to be ignited_x000a__x000a_Must be a number with a maximum of 3 decimal places" sqref="R14:R263">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AND(LEFT(INDEX(OHZ_DET_URL,1,1),8)="https://",ISNUMBER(SEARCH(".",INDEX(OHZ_DET_URL,1,1))),LEN(INDEX(OHZ_DET_URL,1,1))&lt;256,LEN(INDEX(OHZ_DET_URL,1,1))&gt;19)</formula1>
    </dataValidation>
  </dataValidations>
  <pageMargins left="0.23622047244094488" right="0.23622047244094488" top="0.39370078740157483" bottom="0.39370078740157483" header="0.31496062992125984" footer="0.31496062992125984"/>
  <pageSetup paperSize="9" scale="43"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00B0F0"/>
    <pageSetUpPr fitToPage="1"/>
  </sheetPr>
  <dimension ref="A1:AJ73"/>
  <sheetViews>
    <sheetView zoomScale="85" zoomScaleNormal="85" workbookViewId="0">
      <pane ySplit="3" topLeftCell="A4" activePane="bottomLeft" state="frozen"/>
      <selection pane="bottomLeft" activeCell="E6" sqref="E6:H6"/>
    </sheetView>
  </sheetViews>
  <sheetFormatPr defaultColWidth="9.109375" defaultRowHeight="13.2"/>
  <cols>
    <col min="1" max="1" width="2.44140625" style="2" customWidth="1"/>
    <col min="2" max="2" width="9.88671875" style="3" customWidth="1"/>
    <col min="3" max="4" width="10.88671875" style="165" customWidth="1"/>
    <col min="5" max="5" width="10.6640625" style="3" customWidth="1"/>
    <col min="6" max="6" width="11" style="165" customWidth="1"/>
    <col min="7" max="7" width="2.5546875" style="165" customWidth="1"/>
    <col min="8" max="8" width="8.109375" style="165" customWidth="1"/>
    <col min="9" max="9" width="1.33203125" style="165" customWidth="1"/>
    <col min="10" max="10" width="5.6640625" style="3" customWidth="1"/>
    <col min="11" max="11" width="5" style="165" customWidth="1"/>
    <col min="12" max="12" width="6.88671875" style="165" customWidth="1"/>
    <col min="13" max="13" width="5.5546875" style="165" customWidth="1"/>
    <col min="14" max="14" width="11" style="3" customWidth="1"/>
    <col min="15" max="15" width="1.109375" style="165" customWidth="1"/>
    <col min="16" max="16" width="7.44140625" style="165" customWidth="1"/>
    <col min="17" max="17" width="1.33203125" style="3" customWidth="1"/>
    <col min="18" max="18" width="10" style="165" customWidth="1"/>
    <col min="19" max="19" width="7.5546875" style="165" customWidth="1"/>
    <col min="20" max="20" width="21.44140625" style="3" customWidth="1"/>
    <col min="21" max="21" width="23.109375" style="165" customWidth="1"/>
    <col min="22" max="22" width="1.33203125" style="165" customWidth="1"/>
    <col min="23" max="23" width="21.88671875" style="165" customWidth="1"/>
    <col min="24" max="24" width="18" style="3" customWidth="1"/>
    <col min="25" max="25" width="9.44140625" style="3" customWidth="1"/>
    <col min="26" max="26" width="18.5546875" style="165" customWidth="1"/>
    <col min="27" max="27" width="18.5546875" style="3" customWidth="1"/>
    <col min="28" max="28" width="19.6640625" style="2" customWidth="1"/>
    <col min="29" max="29" width="15" style="2" customWidth="1"/>
    <col min="30" max="30" width="34" style="53" customWidth="1"/>
    <col min="31" max="31" width="9.44140625" style="2" customWidth="1"/>
    <col min="32" max="32" width="18.5546875" style="2" customWidth="1"/>
    <col min="33" max="16384" width="9.109375" style="2"/>
  </cols>
  <sheetData>
    <row r="1" spans="1:36" s="157" customFormat="1" ht="4.5" customHeight="1">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row>
    <row r="2" spans="1:36" s="157" customFormat="1" ht="21">
      <c r="A2" s="154"/>
      <c r="B2" s="155" t="s">
        <v>3</v>
      </c>
      <c r="C2" s="155"/>
      <c r="D2" s="155"/>
      <c r="E2" s="156"/>
      <c r="F2" s="156"/>
      <c r="G2" s="156"/>
      <c r="H2" s="156"/>
      <c r="I2" s="156"/>
      <c r="J2" s="156"/>
      <c r="K2" s="156"/>
      <c r="L2" s="396" t="s">
        <v>1965</v>
      </c>
      <c r="M2" s="810" t="str">
        <f>SEC_STATUS</f>
        <v>Empty</v>
      </c>
      <c r="N2" s="810"/>
      <c r="O2" s="398" t="str">
        <f>IFERROR(SEC_VALID_RES,"")</f>
        <v xml:space="preserve">‘Current security level’ is required </v>
      </c>
      <c r="P2" s="156"/>
      <c r="Q2" s="156"/>
      <c r="R2" s="156"/>
      <c r="S2" s="156"/>
      <c r="T2" s="156"/>
      <c r="U2" s="156"/>
      <c r="V2" s="156"/>
      <c r="W2" s="156"/>
      <c r="X2" s="156"/>
      <c r="Y2" s="156"/>
      <c r="Z2" s="156"/>
      <c r="AA2" s="156"/>
      <c r="AB2" s="156"/>
      <c r="AC2" s="156"/>
      <c r="AD2" s="156"/>
      <c r="AE2" s="156"/>
      <c r="AF2" s="156"/>
      <c r="AG2" s="156"/>
      <c r="AH2" s="156"/>
      <c r="AI2" s="156"/>
      <c r="AJ2" s="156"/>
    </row>
    <row r="3" spans="1:36" s="157" customFormat="1" ht="4.5" customHeight="1">
      <c r="B3" s="394"/>
      <c r="C3" s="394"/>
      <c r="D3" s="394"/>
      <c r="E3" s="394"/>
      <c r="F3" s="394"/>
      <c r="G3" s="394"/>
      <c r="H3" s="394"/>
      <c r="I3" s="394"/>
      <c r="J3" s="394"/>
      <c r="K3" s="394"/>
      <c r="L3" s="394"/>
      <c r="M3" s="394"/>
      <c r="N3" s="394"/>
      <c r="O3" s="394"/>
      <c r="P3" s="394"/>
      <c r="Q3" s="394"/>
      <c r="R3" s="394"/>
      <c r="S3" s="394"/>
      <c r="T3" s="406"/>
      <c r="U3" s="406"/>
      <c r="V3" s="406"/>
      <c r="W3" s="406"/>
      <c r="X3" s="407"/>
      <c r="Y3" s="408"/>
      <c r="Z3" s="408"/>
    </row>
    <row r="4" spans="1:36" s="391" customFormat="1" ht="12.75" customHeight="1" thickBot="1">
      <c r="B4" s="264"/>
      <c r="C4" s="264"/>
      <c r="D4" s="264"/>
      <c r="E4" s="264"/>
      <c r="F4" s="264"/>
      <c r="G4" s="264"/>
      <c r="H4" s="264"/>
      <c r="I4" s="264"/>
      <c r="J4" s="264"/>
      <c r="K4" s="264"/>
      <c r="L4" s="264"/>
      <c r="M4" s="264"/>
      <c r="N4" s="264"/>
      <c r="O4" s="264"/>
      <c r="P4" s="264"/>
      <c r="Q4" s="264"/>
      <c r="R4" s="264"/>
      <c r="S4" s="264"/>
      <c r="T4" s="8"/>
      <c r="U4" s="8"/>
      <c r="V4" s="8"/>
      <c r="W4" s="8"/>
      <c r="X4" s="21"/>
      <c r="Y4" s="23"/>
      <c r="Z4" s="23"/>
    </row>
    <row r="5" spans="1:36" ht="21" customHeight="1" thickTop="1">
      <c r="A5" s="53"/>
      <c r="B5" s="894" t="s">
        <v>1905</v>
      </c>
      <c r="C5" s="895"/>
      <c r="D5" s="895"/>
      <c r="E5" s="895"/>
      <c r="F5" s="204"/>
      <c r="G5" s="204"/>
      <c r="H5" s="173"/>
      <c r="I5" s="222"/>
      <c r="J5" s="647" t="s">
        <v>2366</v>
      </c>
      <c r="K5" s="647"/>
      <c r="L5" s="647"/>
      <c r="M5" s="647"/>
      <c r="N5" s="647"/>
      <c r="O5" s="647"/>
      <c r="P5" s="647"/>
      <c r="Q5" s="165"/>
      <c r="R5" s="647" t="s">
        <v>2368</v>
      </c>
      <c r="S5" s="647"/>
      <c r="T5" s="647"/>
      <c r="U5" s="647"/>
      <c r="W5" s="928"/>
      <c r="X5" s="928"/>
      <c r="Y5" s="928"/>
      <c r="Z5" s="928"/>
      <c r="AA5" s="243"/>
      <c r="AD5" s="174"/>
    </row>
    <row r="6" spans="1:36" ht="12.75" customHeight="1">
      <c r="A6" s="53"/>
      <c r="B6" s="643" t="s">
        <v>2344</v>
      </c>
      <c r="C6" s="392" t="s">
        <v>1893</v>
      </c>
      <c r="D6" s="393"/>
      <c r="E6" s="827" t="str">
        <f>IF(OR(ISBLANK(VES_VID_IMO),ISERROR(VES_VID_IMO)),"",VES_VID_IMO)</f>
        <v/>
      </c>
      <c r="F6" s="828"/>
      <c r="G6" s="828"/>
      <c r="H6" s="829"/>
      <c r="I6" s="223"/>
      <c r="J6" s="930" t="s">
        <v>65</v>
      </c>
      <c r="K6" s="931"/>
      <c r="L6" s="932"/>
      <c r="M6" s="827"/>
      <c r="N6" s="828"/>
      <c r="O6" s="828"/>
      <c r="P6" s="829"/>
      <c r="Q6" s="165"/>
      <c r="R6" s="200" t="s">
        <v>1883</v>
      </c>
      <c r="S6" s="207"/>
      <c r="T6" s="201"/>
      <c r="U6" s="232" t="str">
        <f>IF(OR(ISBLANK(SUM_SRC_SOURCE),ISERROR(SUM_SRC_SOURCE)),"",SUM_SRC_SOURCE)</f>
        <v/>
      </c>
      <c r="W6" s="929"/>
      <c r="X6" s="583"/>
      <c r="Y6" s="583"/>
      <c r="Z6" s="583"/>
      <c r="AA6" s="243"/>
      <c r="AD6" s="175"/>
    </row>
    <row r="7" spans="1:36" ht="12.75" customHeight="1">
      <c r="A7" s="53"/>
      <c r="B7" s="643"/>
      <c r="C7" s="385" t="s">
        <v>7</v>
      </c>
      <c r="D7" s="386"/>
      <c r="E7" s="830" t="str">
        <f>IF(OR(ISBLANK(VES_VID_SHIPNAME),ISERROR(VES_VID_SHIPNAME)),"",VES_VID_SHIPNAME)</f>
        <v/>
      </c>
      <c r="F7" s="831"/>
      <c r="G7" s="831"/>
      <c r="H7" s="832"/>
      <c r="I7" s="223"/>
      <c r="J7" s="933" t="s">
        <v>66</v>
      </c>
      <c r="K7" s="934"/>
      <c r="L7" s="935"/>
      <c r="M7" s="830"/>
      <c r="N7" s="831"/>
      <c r="O7" s="831"/>
      <c r="P7" s="832"/>
      <c r="Q7" s="165"/>
      <c r="R7" s="202" t="s">
        <v>693</v>
      </c>
      <c r="S7" s="216"/>
      <c r="T7" s="203"/>
      <c r="U7" s="233">
        <f ca="1">NOW()</f>
        <v>43372.924876504629</v>
      </c>
      <c r="W7" s="929"/>
      <c r="X7" s="583"/>
      <c r="Y7" s="583"/>
      <c r="Z7" s="583"/>
      <c r="AA7" s="243"/>
      <c r="AD7" s="175"/>
    </row>
    <row r="8" spans="1:36" ht="12.75" customHeight="1">
      <c r="A8" s="53"/>
      <c r="B8" s="643"/>
      <c r="C8" s="385" t="s">
        <v>686</v>
      </c>
      <c r="D8" s="386"/>
      <c r="E8" s="830" t="str">
        <f>IF(OR(ISBLANK(VES_VID_CALLSIGN),ISERROR(VES_VID_CALLSIGN)),"",VES_VID_CALLSIGN)</f>
        <v/>
      </c>
      <c r="F8" s="831"/>
      <c r="G8" s="831"/>
      <c r="H8" s="832"/>
      <c r="I8" s="223"/>
      <c r="J8" s="954" t="s">
        <v>2365</v>
      </c>
      <c r="K8" s="955"/>
      <c r="L8" s="386" t="s">
        <v>62</v>
      </c>
      <c r="M8" s="833"/>
      <c r="N8" s="834"/>
      <c r="O8" s="834"/>
      <c r="P8" s="835"/>
      <c r="Q8" s="165"/>
      <c r="R8" s="503" t="s">
        <v>61</v>
      </c>
      <c r="S8" s="504"/>
      <c r="T8" s="505"/>
      <c r="U8" s="507"/>
      <c r="W8" s="584"/>
      <c r="X8" s="700"/>
      <c r="Y8" s="700"/>
      <c r="Z8" s="700"/>
      <c r="AA8" s="242"/>
      <c r="AD8" s="175"/>
    </row>
    <row r="9" spans="1:36" ht="12.75" customHeight="1" thickBot="1">
      <c r="A9" s="53"/>
      <c r="B9" s="644"/>
      <c r="C9" s="385" t="s">
        <v>8</v>
      </c>
      <c r="D9" s="386"/>
      <c r="E9" s="830" t="str">
        <f>IF(OR(ISBLANK(VES_VID_MMSI),ISERROR(VES_VID_MMSI)),"",VES_VID_MMSI)</f>
        <v/>
      </c>
      <c r="F9" s="831"/>
      <c r="G9" s="831"/>
      <c r="H9" s="832"/>
      <c r="I9" s="223"/>
      <c r="J9" s="956"/>
      <c r="K9" s="957"/>
      <c r="L9" s="386" t="s">
        <v>63</v>
      </c>
      <c r="M9" s="833"/>
      <c r="N9" s="834"/>
      <c r="O9" s="834"/>
      <c r="P9" s="835"/>
      <c r="Q9" s="165"/>
      <c r="R9" s="500" t="s">
        <v>699</v>
      </c>
      <c r="S9" s="501"/>
      <c r="T9" s="502"/>
      <c r="U9" s="104"/>
      <c r="W9" s="585"/>
      <c r="X9" s="700"/>
      <c r="Y9" s="700"/>
      <c r="Z9" s="700"/>
      <c r="AA9" s="242"/>
      <c r="AD9" s="175"/>
    </row>
    <row r="10" spans="1:36" ht="12.75" customHeight="1" thickTop="1" thickBot="1">
      <c r="A10" s="53"/>
      <c r="B10" s="387"/>
      <c r="C10" s="388" t="s">
        <v>47</v>
      </c>
      <c r="D10" s="389"/>
      <c r="E10" s="912" t="str">
        <f>IF(OR(ISBLANK(VES_VID_FLAG),ISERROR(VES_VID_FLAG)),"",VES_VID_FLAG)</f>
        <v/>
      </c>
      <c r="F10" s="837"/>
      <c r="G10" s="837"/>
      <c r="H10" s="838"/>
      <c r="I10" s="223"/>
      <c r="J10" s="958"/>
      <c r="K10" s="959"/>
      <c r="L10" s="389" t="s">
        <v>13</v>
      </c>
      <c r="M10" s="836"/>
      <c r="N10" s="837"/>
      <c r="O10" s="837"/>
      <c r="P10" s="838"/>
      <c r="Q10" s="165"/>
      <c r="T10" s="165"/>
      <c r="W10" s="310"/>
      <c r="X10" s="48"/>
      <c r="Y10" s="369"/>
      <c r="Z10" s="369"/>
      <c r="AA10" s="242"/>
      <c r="AD10" s="175"/>
    </row>
    <row r="11" spans="1:36" ht="16.8" thickTop="1" thickBot="1">
      <c r="A11" s="53"/>
      <c r="B11" s="271" t="s">
        <v>698</v>
      </c>
      <c r="C11" s="271"/>
      <c r="D11" s="271"/>
      <c r="E11" s="271"/>
      <c r="F11" s="271"/>
      <c r="G11" s="271"/>
      <c r="H11" s="271"/>
      <c r="I11" s="189"/>
      <c r="J11" s="264"/>
      <c r="K11" s="264"/>
      <c r="L11" s="264"/>
      <c r="M11" s="264"/>
      <c r="N11" s="264"/>
      <c r="O11" s="264"/>
      <c r="P11" s="264"/>
      <c r="Q11" s="264"/>
      <c r="R11" s="264"/>
      <c r="S11" s="264"/>
      <c r="T11" s="264"/>
      <c r="U11" s="264"/>
      <c r="W11" s="270"/>
      <c r="X11" s="269"/>
      <c r="Y11" s="269"/>
      <c r="Z11" s="269"/>
      <c r="AA11" s="242"/>
      <c r="AD11" s="175"/>
    </row>
    <row r="12" spans="1:36" ht="20.25" customHeight="1" thickTop="1">
      <c r="A12" s="53"/>
      <c r="B12" s="894" t="s">
        <v>1906</v>
      </c>
      <c r="C12" s="895"/>
      <c r="D12" s="895"/>
      <c r="E12" s="895"/>
      <c r="F12" s="204"/>
      <c r="G12" s="204"/>
      <c r="H12" s="178"/>
      <c r="I12" s="222"/>
      <c r="J12" s="647" t="s">
        <v>2367</v>
      </c>
      <c r="K12" s="647"/>
      <c r="L12" s="647"/>
      <c r="M12" s="647"/>
      <c r="N12" s="647"/>
      <c r="O12" s="647"/>
      <c r="P12" s="647"/>
      <c r="Q12" s="165"/>
      <c r="R12" s="647" t="s">
        <v>2371</v>
      </c>
      <c r="S12" s="647"/>
      <c r="T12" s="647"/>
      <c r="U12" s="647"/>
      <c r="AB12" s="184"/>
      <c r="AC12" s="116"/>
      <c r="AD12" s="116"/>
      <c r="AE12" s="52"/>
      <c r="AF12" s="52"/>
    </row>
    <row r="13" spans="1:36" ht="12.75" customHeight="1">
      <c r="A13" s="53"/>
      <c r="B13" s="648" t="s">
        <v>53</v>
      </c>
      <c r="C13" s="819"/>
      <c r="D13" s="649"/>
      <c r="E13" s="827" t="str">
        <f>IF(OR(ISBLANK(VES_VDE_GROSSTONNA),ISERROR(VES_VDE_GROSSTONNA)),"",VES_VDE_GROSSTONNA)</f>
        <v/>
      </c>
      <c r="F13" s="828"/>
      <c r="G13" s="828"/>
      <c r="H13" s="829"/>
      <c r="I13" s="223"/>
      <c r="J13" s="930" t="s">
        <v>46</v>
      </c>
      <c r="K13" s="931"/>
      <c r="L13" s="932"/>
      <c r="M13" s="827"/>
      <c r="N13" s="828"/>
      <c r="O13" s="828"/>
      <c r="P13" s="829"/>
      <c r="Q13" s="165"/>
      <c r="R13" s="322" t="s">
        <v>685</v>
      </c>
      <c r="S13" s="323"/>
      <c r="T13" s="324"/>
      <c r="U13" s="231"/>
      <c r="W13" s="642" t="s">
        <v>1909</v>
      </c>
      <c r="X13" s="642"/>
      <c r="Y13" s="642"/>
      <c r="Z13" s="219"/>
      <c r="AB13" s="184"/>
      <c r="AC13" s="185"/>
      <c r="AD13" s="185"/>
      <c r="AE13" s="185"/>
      <c r="AF13" s="185"/>
    </row>
    <row r="14" spans="1:36" ht="12" customHeight="1">
      <c r="A14" s="53"/>
      <c r="B14" s="946" t="s">
        <v>54</v>
      </c>
      <c r="C14" s="947"/>
      <c r="D14" s="948"/>
      <c r="E14" s="830" t="str">
        <f>IF(OR(ISBLANK(VES_VDE_SHIPTYPE),ISERROR(VES_VDE_SHIPTYPE)),"",VES_VDE_SHIPTYPE)</f>
        <v/>
      </c>
      <c r="F14" s="831"/>
      <c r="G14" s="831"/>
      <c r="H14" s="832"/>
      <c r="I14" s="223"/>
      <c r="J14" s="960" t="s">
        <v>62</v>
      </c>
      <c r="K14" s="961"/>
      <c r="L14" s="962"/>
      <c r="M14" s="833"/>
      <c r="N14" s="834"/>
      <c r="O14" s="834"/>
      <c r="P14" s="835"/>
      <c r="Q14" s="165"/>
      <c r="R14" s="319" t="s">
        <v>684</v>
      </c>
      <c r="S14" s="320"/>
      <c r="T14" s="321"/>
      <c r="U14" s="506"/>
      <c r="W14" s="642"/>
      <c r="X14" s="642"/>
      <c r="Y14" s="642"/>
      <c r="Z14" s="219"/>
      <c r="AB14" s="186"/>
      <c r="AC14" s="52"/>
      <c r="AD14" s="52"/>
      <c r="AE14" s="52"/>
      <c r="AF14" s="52"/>
    </row>
    <row r="15" spans="1:36" s="325" customFormat="1" ht="12.75" customHeight="1">
      <c r="B15" s="949" t="s">
        <v>642</v>
      </c>
      <c r="C15" s="950"/>
      <c r="D15" s="951"/>
      <c r="E15" s="900" t="str">
        <f>IF(ISERROR(VLOOKUP(SEC_VDE_SHIPTYPE, REF_SHIP_TYPE_TABLE[], 2,FALSE)),"Select ship type from cell above...",VLOOKUP(SEC_VDE_SHIPTYPE, REF_SHIP_TYPE_TABLE[], 2,FALSE))</f>
        <v>Select ship type from cell above...</v>
      </c>
      <c r="F15" s="901"/>
      <c r="G15" s="901"/>
      <c r="H15" s="902"/>
      <c r="I15" s="326"/>
      <c r="J15" s="949" t="s">
        <v>63</v>
      </c>
      <c r="K15" s="950"/>
      <c r="L15" s="951"/>
      <c r="M15" s="909"/>
      <c r="N15" s="910"/>
      <c r="O15" s="910"/>
      <c r="P15" s="911"/>
      <c r="Q15" s="327"/>
      <c r="R15" s="936" t="s">
        <v>52</v>
      </c>
      <c r="S15" s="937"/>
      <c r="T15" s="937"/>
      <c r="U15" s="938"/>
      <c r="V15" s="327"/>
      <c r="W15" s="642"/>
      <c r="X15" s="642"/>
      <c r="Y15" s="642"/>
      <c r="Z15" s="318"/>
      <c r="AA15" s="327"/>
      <c r="AB15" s="328"/>
      <c r="AC15" s="328"/>
      <c r="AD15" s="328"/>
      <c r="AE15" s="328"/>
      <c r="AF15" s="328"/>
    </row>
    <row r="16" spans="1:36" ht="15" customHeight="1" thickBot="1">
      <c r="A16" s="53"/>
      <c r="B16" s="946" t="s">
        <v>1579</v>
      </c>
      <c r="C16" s="947"/>
      <c r="D16" s="948"/>
      <c r="E16" s="903"/>
      <c r="F16" s="904"/>
      <c r="G16" s="904"/>
      <c r="H16" s="905"/>
      <c r="I16" s="223"/>
      <c r="J16" s="963" t="s">
        <v>13</v>
      </c>
      <c r="K16" s="964"/>
      <c r="L16" s="965"/>
      <c r="M16" s="912"/>
      <c r="N16" s="837"/>
      <c r="O16" s="837"/>
      <c r="P16" s="838"/>
      <c r="Q16" s="165"/>
      <c r="R16" s="821" t="str">
        <f>IF(OR(ISBLANK(VOY_VOY_BRIEFCARGO),ISERROR(VOY_VOY_BRIEFCARGO)),"",VOY_VOY_BRIEFCARGO)</f>
        <v/>
      </c>
      <c r="S16" s="822"/>
      <c r="T16" s="822"/>
      <c r="U16" s="823"/>
      <c r="W16" s="642"/>
      <c r="X16" s="642"/>
      <c r="Y16" s="642"/>
      <c r="Z16" s="219"/>
      <c r="AB16" s="52"/>
      <c r="AC16" s="52"/>
      <c r="AD16" s="52"/>
      <c r="AE16" s="52"/>
      <c r="AF16" s="52"/>
    </row>
    <row r="17" spans="2:30" s="53" customFormat="1" ht="12.75" customHeight="1" thickTop="1">
      <c r="B17" s="946" t="s">
        <v>1580</v>
      </c>
      <c r="C17" s="947"/>
      <c r="D17" s="948"/>
      <c r="E17" s="903"/>
      <c r="F17" s="904"/>
      <c r="G17" s="904"/>
      <c r="H17" s="905"/>
      <c r="I17" s="223"/>
      <c r="M17" s="896"/>
      <c r="N17" s="896"/>
      <c r="O17" s="896"/>
      <c r="P17" s="896"/>
      <c r="R17" s="821"/>
      <c r="S17" s="822"/>
      <c r="T17" s="822"/>
      <c r="U17" s="823"/>
      <c r="W17" s="642"/>
      <c r="X17" s="642"/>
      <c r="Y17" s="642"/>
      <c r="Z17" s="219"/>
    </row>
    <row r="18" spans="2:30" s="53" customFormat="1" ht="12.75" customHeight="1" thickBot="1">
      <c r="B18" s="650" t="s">
        <v>1811</v>
      </c>
      <c r="C18" s="952"/>
      <c r="D18" s="651"/>
      <c r="E18" s="906"/>
      <c r="F18" s="907"/>
      <c r="G18" s="907"/>
      <c r="H18" s="908"/>
      <c r="I18" s="224"/>
      <c r="M18" s="896"/>
      <c r="N18" s="896"/>
      <c r="O18" s="896"/>
      <c r="P18" s="896"/>
      <c r="R18" s="824"/>
      <c r="S18" s="825"/>
      <c r="T18" s="825"/>
      <c r="U18" s="826"/>
      <c r="W18" s="642"/>
      <c r="X18" s="642"/>
      <c r="Y18" s="642"/>
      <c r="Z18" s="219"/>
    </row>
    <row r="19" spans="2:30" s="53" customFormat="1" ht="6.75" customHeight="1" thickTop="1" thickBot="1">
      <c r="I19" s="52"/>
      <c r="M19" s="896"/>
      <c r="N19" s="896"/>
      <c r="O19" s="896"/>
      <c r="P19" s="896"/>
      <c r="U19" s="234"/>
      <c r="W19" s="642"/>
      <c r="X19" s="642"/>
      <c r="Y19" s="642"/>
      <c r="Z19" s="219"/>
    </row>
    <row r="20" spans="2:30" s="53" customFormat="1" ht="20.25" customHeight="1" thickTop="1">
      <c r="B20" s="894" t="s">
        <v>1907</v>
      </c>
      <c r="C20" s="895"/>
      <c r="D20" s="895"/>
      <c r="E20" s="895"/>
      <c r="F20" s="204"/>
      <c r="G20" s="204"/>
      <c r="H20" s="173"/>
      <c r="I20" s="222"/>
      <c r="J20" s="647" t="s">
        <v>2372</v>
      </c>
      <c r="K20" s="647"/>
      <c r="L20" s="647"/>
      <c r="M20" s="647"/>
      <c r="N20" s="647"/>
      <c r="O20" s="647"/>
      <c r="P20" s="647"/>
      <c r="R20" s="647" t="s">
        <v>1881</v>
      </c>
      <c r="S20" s="647"/>
      <c r="T20" s="647"/>
      <c r="U20" s="647"/>
      <c r="W20" s="642"/>
      <c r="X20" s="642"/>
      <c r="Y20" s="642"/>
      <c r="Z20" s="219"/>
    </row>
    <row r="21" spans="2:30" s="53" customFormat="1" ht="12.75" customHeight="1">
      <c r="B21" s="648" t="s">
        <v>55</v>
      </c>
      <c r="C21" s="819"/>
      <c r="D21" s="649"/>
      <c r="E21" s="977" t="str">
        <f>IF(OR(ISBLANK(VES_REG_REGDATE),ISERROR(VES_REG_REGDATE)),"",VES_REG_REGDATE)</f>
        <v/>
      </c>
      <c r="F21" s="915"/>
      <c r="G21" s="915"/>
      <c r="H21" s="916"/>
      <c r="I21" s="225"/>
      <c r="J21" s="648" t="s">
        <v>2369</v>
      </c>
      <c r="K21" s="819"/>
      <c r="L21" s="649"/>
      <c r="M21" s="897"/>
      <c r="N21" s="898"/>
      <c r="O21" s="898"/>
      <c r="P21" s="899"/>
      <c r="R21" s="211" t="s">
        <v>1910</v>
      </c>
      <c r="S21" s="227"/>
      <c r="T21" s="212"/>
      <c r="U21" s="231"/>
      <c r="W21" s="642"/>
      <c r="X21" s="642"/>
      <c r="Y21" s="642"/>
      <c r="Z21" s="219"/>
    </row>
    <row r="22" spans="2:30" s="53" customFormat="1" ht="12.75" customHeight="1">
      <c r="B22" s="946" t="s">
        <v>56</v>
      </c>
      <c r="C22" s="947"/>
      <c r="D22" s="948"/>
      <c r="E22" s="966" t="str">
        <f>IF(OR(ISBLANK(VES_REG_REGNUMBER),ISERROR(VES_REG_REGNUMBER)),"",VES_REG_REGNUMBER)</f>
        <v/>
      </c>
      <c r="F22" s="967"/>
      <c r="G22" s="967"/>
      <c r="H22" s="968"/>
      <c r="I22" s="224"/>
      <c r="J22" s="205" t="s">
        <v>674</v>
      </c>
      <c r="K22" s="206"/>
      <c r="L22" s="206"/>
      <c r="M22" s="833"/>
      <c r="N22" s="834"/>
      <c r="O22" s="834"/>
      <c r="P22" s="835"/>
      <c r="R22" s="213" t="s">
        <v>1911</v>
      </c>
      <c r="S22" s="214"/>
      <c r="T22" s="214"/>
      <c r="U22" s="215"/>
      <c r="W22" s="642"/>
      <c r="X22" s="642"/>
      <c r="Y22" s="642"/>
      <c r="Z22" s="219"/>
    </row>
    <row r="23" spans="2:30" s="53" customFormat="1" ht="12.75" customHeight="1">
      <c r="B23" s="946" t="s">
        <v>14</v>
      </c>
      <c r="C23" s="947"/>
      <c r="D23" s="948"/>
      <c r="E23" s="966" t="str">
        <f>IF(OR(ISBLANK(VES_REG_REGCOMPNAM),ISERROR(VES_REG_REGCOMPNAM)),"",VES_REG_REGCOMPNAM)</f>
        <v/>
      </c>
      <c r="F23" s="967"/>
      <c r="G23" s="967"/>
      <c r="H23" s="968"/>
      <c r="I23" s="224"/>
      <c r="J23" s="205" t="s">
        <v>64</v>
      </c>
      <c r="K23" s="206"/>
      <c r="L23" s="206"/>
      <c r="M23" s="833"/>
      <c r="N23" s="834"/>
      <c r="O23" s="834"/>
      <c r="P23" s="835"/>
      <c r="R23" s="874"/>
      <c r="S23" s="875"/>
      <c r="T23" s="875"/>
      <c r="U23" s="876"/>
      <c r="W23" s="642"/>
      <c r="X23" s="642"/>
      <c r="Y23" s="642"/>
      <c r="Z23" s="219"/>
    </row>
    <row r="24" spans="2:30" s="53" customFormat="1" ht="12.75" customHeight="1" thickBot="1">
      <c r="B24" s="650" t="s">
        <v>1587</v>
      </c>
      <c r="C24" s="952"/>
      <c r="D24" s="651"/>
      <c r="E24" s="978" t="str">
        <f>IF(OR(ISBLANK(VES_REG_REGCOMPIMO),ISERROR(VES_REG_REGCOMPIMO)),"",VES_REG_REGCOMPIMO)</f>
        <v/>
      </c>
      <c r="F24" s="979"/>
      <c r="G24" s="979"/>
      <c r="H24" s="980"/>
      <c r="I24" s="224"/>
      <c r="J24" s="813" t="s">
        <v>2374</v>
      </c>
      <c r="K24" s="814"/>
      <c r="L24" s="815"/>
      <c r="M24" s="871"/>
      <c r="N24" s="872"/>
      <c r="O24" s="872"/>
      <c r="P24" s="873"/>
      <c r="R24" s="877"/>
      <c r="S24" s="878"/>
      <c r="T24" s="878"/>
      <c r="U24" s="879"/>
      <c r="W24" s="642"/>
      <c r="X24" s="642"/>
      <c r="Y24" s="642"/>
      <c r="Z24" s="241"/>
    </row>
    <row r="25" spans="2:30" s="53" customFormat="1" ht="6.75" customHeight="1" thickTop="1" thickBot="1">
      <c r="I25" s="52"/>
      <c r="J25" s="816"/>
      <c r="K25" s="817"/>
      <c r="L25" s="818"/>
      <c r="M25" s="871"/>
      <c r="N25" s="872"/>
      <c r="O25" s="872"/>
      <c r="P25" s="873"/>
      <c r="Q25" s="165"/>
      <c r="R25" s="880"/>
      <c r="S25" s="881"/>
      <c r="T25" s="881"/>
      <c r="U25" s="882"/>
      <c r="X25" s="251" t="s">
        <v>1853</v>
      </c>
    </row>
    <row r="26" spans="2:30" s="53" customFormat="1" ht="12.75" customHeight="1" thickTop="1" thickBot="1">
      <c r="B26" s="635" t="s">
        <v>1886</v>
      </c>
      <c r="C26" s="636"/>
      <c r="D26" s="636"/>
      <c r="E26" s="636"/>
      <c r="F26" s="636"/>
      <c r="G26" s="636"/>
      <c r="H26" s="637"/>
      <c r="I26" s="222"/>
      <c r="J26" s="648" t="s">
        <v>2373</v>
      </c>
      <c r="K26" s="819"/>
      <c r="L26" s="649"/>
      <c r="M26" s="969"/>
      <c r="N26" s="970"/>
      <c r="O26" s="970"/>
      <c r="P26" s="971"/>
      <c r="Q26" s="165"/>
    </row>
    <row r="27" spans="2:30" s="53" customFormat="1" ht="12.75" customHeight="1" thickTop="1" thickBot="1">
      <c r="B27" s="652"/>
      <c r="C27" s="661"/>
      <c r="D27" s="661"/>
      <c r="E27" s="661"/>
      <c r="F27" s="661"/>
      <c r="G27" s="661"/>
      <c r="H27" s="653"/>
      <c r="I27" s="222"/>
      <c r="J27" s="421" t="s">
        <v>691</v>
      </c>
      <c r="K27" s="499"/>
      <c r="L27" s="499"/>
      <c r="M27" s="972"/>
      <c r="N27" s="973"/>
      <c r="O27" s="973"/>
      <c r="P27" s="974"/>
      <c r="R27" s="647" t="s">
        <v>1274</v>
      </c>
      <c r="S27" s="647"/>
      <c r="T27" s="647"/>
      <c r="U27" s="647"/>
      <c r="W27" s="282"/>
      <c r="AA27" s="3"/>
      <c r="AB27" s="21"/>
    </row>
    <row r="28" spans="2:30" s="53" customFormat="1" ht="12.75" customHeight="1" thickTop="1">
      <c r="B28" s="648" t="s">
        <v>1885</v>
      </c>
      <c r="C28" s="819"/>
      <c r="D28" s="819"/>
      <c r="E28" s="915"/>
      <c r="F28" s="915"/>
      <c r="G28" s="915"/>
      <c r="H28" s="916"/>
      <c r="I28" s="225"/>
      <c r="J28" s="205" t="s">
        <v>2370</v>
      </c>
      <c r="K28" s="206"/>
      <c r="L28" s="206"/>
      <c r="M28" s="975"/>
      <c r="N28" s="975"/>
      <c r="O28" s="975"/>
      <c r="P28" s="976"/>
      <c r="R28" s="647"/>
      <c r="S28" s="647"/>
      <c r="T28" s="647"/>
      <c r="U28" s="647"/>
      <c r="W28" s="282"/>
      <c r="X28" s="52"/>
      <c r="AA28" s="3"/>
      <c r="AB28" s="21"/>
    </row>
    <row r="29" spans="2:30" s="53" customFormat="1" ht="12.75" customHeight="1">
      <c r="B29" s="981" t="s">
        <v>1884</v>
      </c>
      <c r="C29" s="982"/>
      <c r="D29" s="982"/>
      <c r="E29" s="982"/>
      <c r="F29" s="982"/>
      <c r="G29" s="982"/>
      <c r="H29" s="983"/>
      <c r="I29" s="182"/>
      <c r="J29" s="874"/>
      <c r="K29" s="875"/>
      <c r="L29" s="875"/>
      <c r="M29" s="875"/>
      <c r="N29" s="875"/>
      <c r="O29" s="875"/>
      <c r="P29" s="876"/>
      <c r="R29" s="940"/>
      <c r="S29" s="941"/>
      <c r="T29" s="941"/>
      <c r="U29" s="942"/>
      <c r="W29" s="282"/>
      <c r="AA29" s="3"/>
      <c r="AB29" s="21"/>
    </row>
    <row r="30" spans="2:30" s="53" customFormat="1" ht="12.75" customHeight="1">
      <c r="B30" s="918"/>
      <c r="C30" s="919"/>
      <c r="D30" s="919"/>
      <c r="E30" s="919"/>
      <c r="F30" s="919"/>
      <c r="G30" s="919"/>
      <c r="H30" s="920"/>
      <c r="I30" s="226"/>
      <c r="J30" s="877"/>
      <c r="K30" s="878"/>
      <c r="L30" s="878"/>
      <c r="M30" s="878"/>
      <c r="N30" s="878"/>
      <c r="O30" s="878"/>
      <c r="P30" s="879"/>
      <c r="R30" s="940"/>
      <c r="S30" s="941"/>
      <c r="T30" s="941"/>
      <c r="U30" s="942"/>
      <c r="AA30" s="3"/>
      <c r="AB30" s="21"/>
    </row>
    <row r="31" spans="2:30" s="53" customFormat="1" ht="12.75" customHeight="1">
      <c r="B31" s="921"/>
      <c r="C31" s="922"/>
      <c r="D31" s="922"/>
      <c r="E31" s="922"/>
      <c r="F31" s="922"/>
      <c r="G31" s="922"/>
      <c r="H31" s="923"/>
      <c r="I31" s="226"/>
      <c r="J31" s="877"/>
      <c r="K31" s="878"/>
      <c r="L31" s="878"/>
      <c r="M31" s="878"/>
      <c r="N31" s="878"/>
      <c r="O31" s="878"/>
      <c r="P31" s="879"/>
      <c r="R31" s="940"/>
      <c r="S31" s="941"/>
      <c r="T31" s="941"/>
      <c r="U31" s="942"/>
      <c r="AA31" s="3"/>
      <c r="AB31" s="21"/>
    </row>
    <row r="32" spans="2:30" s="53" customFormat="1" ht="12.75" customHeight="1" thickBot="1">
      <c r="B32" s="924"/>
      <c r="C32" s="925"/>
      <c r="D32" s="925"/>
      <c r="E32" s="925"/>
      <c r="F32" s="925"/>
      <c r="G32" s="925"/>
      <c r="H32" s="926"/>
      <c r="I32" s="226"/>
      <c r="J32" s="880"/>
      <c r="K32" s="881"/>
      <c r="L32" s="881"/>
      <c r="M32" s="881"/>
      <c r="N32" s="881"/>
      <c r="O32" s="881"/>
      <c r="P32" s="882"/>
      <c r="R32" s="943"/>
      <c r="S32" s="944"/>
      <c r="T32" s="944"/>
      <c r="U32" s="945"/>
      <c r="AA32" s="3"/>
      <c r="AB32" s="21"/>
      <c r="AD32" s="187"/>
    </row>
    <row r="33" spans="2:33" s="53" customFormat="1" ht="18.600000000000001" thickTop="1" thickBot="1">
      <c r="B33" s="20" t="s">
        <v>1855</v>
      </c>
      <c r="C33" s="20"/>
      <c r="D33" s="20"/>
      <c r="E33" s="3"/>
      <c r="F33" s="165"/>
      <c r="G33" s="165"/>
      <c r="H33" s="165"/>
      <c r="I33" s="165"/>
      <c r="J33" s="8"/>
      <c r="K33" s="8"/>
      <c r="L33" s="8"/>
      <c r="M33" s="8"/>
      <c r="N33" s="3"/>
      <c r="O33" s="165"/>
      <c r="P33" s="165"/>
      <c r="Q33" s="3"/>
      <c r="R33" s="165"/>
      <c r="S33" s="165"/>
      <c r="T33" s="9"/>
      <c r="U33" s="9"/>
      <c r="V33" s="228"/>
      <c r="W33" s="228"/>
      <c r="X33" s="17"/>
      <c r="Y33" s="17"/>
      <c r="Z33" s="17"/>
      <c r="AA33" s="3"/>
      <c r="AC33" s="19"/>
      <c r="AD33" s="19"/>
    </row>
    <row r="34" spans="2:33" ht="21" customHeight="1" thickTop="1">
      <c r="B34" s="635" t="s">
        <v>2375</v>
      </c>
      <c r="C34" s="636"/>
      <c r="D34" s="636"/>
      <c r="E34" s="636"/>
      <c r="F34" s="636"/>
      <c r="G34" s="636"/>
      <c r="H34" s="636"/>
      <c r="I34" s="636"/>
      <c r="J34" s="636"/>
      <c r="K34" s="636"/>
      <c r="L34" s="636"/>
      <c r="M34" s="636"/>
      <c r="N34" s="636"/>
      <c r="O34" s="636"/>
      <c r="P34" s="636"/>
      <c r="Q34" s="636"/>
      <c r="R34" s="636"/>
      <c r="S34" s="636"/>
      <c r="T34" s="636"/>
      <c r="U34" s="637"/>
      <c r="Y34" s="195"/>
      <c r="Z34" s="195"/>
      <c r="AA34" s="195"/>
      <c r="AB34" s="195"/>
      <c r="AC34" s="176"/>
      <c r="AD34" s="176"/>
    </row>
    <row r="35" spans="2:33" ht="38.25" customHeight="1">
      <c r="B35" s="86" t="s">
        <v>696</v>
      </c>
      <c r="C35" s="531" t="s">
        <v>2385</v>
      </c>
      <c r="D35" s="531" t="s">
        <v>2386</v>
      </c>
      <c r="E35" s="531" t="s">
        <v>1572</v>
      </c>
      <c r="F35" s="847" t="s">
        <v>1915</v>
      </c>
      <c r="G35" s="847"/>
      <c r="H35" s="847" t="s">
        <v>1573</v>
      </c>
      <c r="I35" s="847"/>
      <c r="J35" s="847" t="s">
        <v>2387</v>
      </c>
      <c r="K35" s="847"/>
      <c r="L35" s="847" t="s">
        <v>1575</v>
      </c>
      <c r="M35" s="847"/>
      <c r="N35" s="847" t="s">
        <v>2388</v>
      </c>
      <c r="O35" s="847"/>
      <c r="P35" s="847" t="s">
        <v>1895</v>
      </c>
      <c r="Q35" s="847"/>
      <c r="R35" s="847"/>
      <c r="S35" s="843" t="s">
        <v>1894</v>
      </c>
      <c r="T35" s="839"/>
      <c r="U35" s="927"/>
      <c r="V35" s="642" t="s">
        <v>700</v>
      </c>
      <c r="W35" s="642"/>
      <c r="X35" s="642"/>
      <c r="AC35" s="219"/>
      <c r="AD35" s="219"/>
      <c r="AE35" s="188"/>
      <c r="AF35" s="52"/>
    </row>
    <row r="36" spans="2:33" ht="12.75" customHeight="1">
      <c r="B36" s="522">
        <v>1</v>
      </c>
      <c r="C36" s="554"/>
      <c r="D36" s="555"/>
      <c r="E36" s="534"/>
      <c r="F36" s="808"/>
      <c r="G36" s="807"/>
      <c r="H36" s="864"/>
      <c r="I36" s="865"/>
      <c r="J36" s="857"/>
      <c r="K36" s="858"/>
      <c r="L36" s="689"/>
      <c r="M36" s="689"/>
      <c r="N36" s="887"/>
      <c r="O36" s="887"/>
      <c r="P36" s="953" t="s">
        <v>1896</v>
      </c>
      <c r="Q36" s="953"/>
      <c r="R36" s="953"/>
      <c r="S36" s="811"/>
      <c r="T36" s="811"/>
      <c r="U36" s="812"/>
      <c r="V36" s="642"/>
      <c r="W36" s="642"/>
      <c r="X36" s="642"/>
      <c r="AC36" s="219"/>
      <c r="AD36" s="219"/>
      <c r="AE36" s="188"/>
      <c r="AF36" s="52"/>
    </row>
    <row r="37" spans="2:33">
      <c r="B37" s="522">
        <v>2</v>
      </c>
      <c r="C37" s="554"/>
      <c r="D37" s="555"/>
      <c r="E37" s="534"/>
      <c r="F37" s="808"/>
      <c r="G37" s="807"/>
      <c r="H37" s="864"/>
      <c r="I37" s="865"/>
      <c r="J37" s="857"/>
      <c r="K37" s="858"/>
      <c r="L37" s="689"/>
      <c r="M37" s="689"/>
      <c r="N37" s="809"/>
      <c r="O37" s="809"/>
      <c r="P37" s="820" t="s">
        <v>1896</v>
      </c>
      <c r="Q37" s="820"/>
      <c r="R37" s="820"/>
      <c r="S37" s="811"/>
      <c r="T37" s="811"/>
      <c r="U37" s="812"/>
      <c r="V37" s="642"/>
      <c r="W37" s="642"/>
      <c r="X37" s="642"/>
      <c r="AC37" s="219"/>
      <c r="AD37" s="219"/>
      <c r="AE37" s="188"/>
      <c r="AF37" s="52"/>
      <c r="AG37" s="53"/>
    </row>
    <row r="38" spans="2:33">
      <c r="B38" s="522">
        <v>3</v>
      </c>
      <c r="C38" s="554"/>
      <c r="D38" s="555"/>
      <c r="E38" s="534"/>
      <c r="F38" s="806"/>
      <c r="G38" s="807"/>
      <c r="H38" s="864"/>
      <c r="I38" s="865"/>
      <c r="J38" s="857"/>
      <c r="K38" s="858"/>
      <c r="L38" s="689"/>
      <c r="M38" s="689"/>
      <c r="N38" s="809"/>
      <c r="O38" s="809"/>
      <c r="P38" s="820" t="s">
        <v>1896</v>
      </c>
      <c r="Q38" s="820"/>
      <c r="R38" s="820"/>
      <c r="S38" s="811"/>
      <c r="T38" s="811"/>
      <c r="U38" s="812"/>
      <c r="V38" s="642"/>
      <c r="W38" s="642"/>
      <c r="X38" s="642"/>
      <c r="AC38" s="219"/>
      <c r="AD38" s="219"/>
      <c r="AE38" s="188"/>
      <c r="AF38" s="52"/>
      <c r="AG38" s="53"/>
    </row>
    <row r="39" spans="2:33">
      <c r="B39" s="522">
        <v>4</v>
      </c>
      <c r="C39" s="554"/>
      <c r="D39" s="555"/>
      <c r="E39" s="534"/>
      <c r="F39" s="808"/>
      <c r="G39" s="807"/>
      <c r="H39" s="864"/>
      <c r="I39" s="865"/>
      <c r="J39" s="857"/>
      <c r="K39" s="858"/>
      <c r="L39" s="689"/>
      <c r="M39" s="689"/>
      <c r="N39" s="809"/>
      <c r="O39" s="809"/>
      <c r="P39" s="820" t="s">
        <v>1896</v>
      </c>
      <c r="Q39" s="820"/>
      <c r="R39" s="820"/>
      <c r="S39" s="811"/>
      <c r="T39" s="811"/>
      <c r="U39" s="812"/>
      <c r="V39" s="642"/>
      <c r="W39" s="642"/>
      <c r="X39" s="642"/>
      <c r="AC39" s="219"/>
      <c r="AD39" s="219"/>
      <c r="AE39" s="188"/>
      <c r="AF39" s="52"/>
      <c r="AG39" s="53"/>
    </row>
    <row r="40" spans="2:33">
      <c r="B40" s="522">
        <v>5</v>
      </c>
      <c r="C40" s="554"/>
      <c r="D40" s="555"/>
      <c r="E40" s="535"/>
      <c r="F40" s="808"/>
      <c r="G40" s="807"/>
      <c r="H40" s="864"/>
      <c r="I40" s="865"/>
      <c r="J40" s="857"/>
      <c r="K40" s="858"/>
      <c r="L40" s="689"/>
      <c r="M40" s="689"/>
      <c r="N40" s="809"/>
      <c r="O40" s="809"/>
      <c r="P40" s="820" t="s">
        <v>1896</v>
      </c>
      <c r="Q40" s="820"/>
      <c r="R40" s="820"/>
      <c r="S40" s="811"/>
      <c r="T40" s="811"/>
      <c r="U40" s="812"/>
      <c r="V40" s="642"/>
      <c r="W40" s="642"/>
      <c r="X40" s="642"/>
      <c r="AC40" s="219"/>
      <c r="AD40" s="219"/>
      <c r="AE40" s="210"/>
    </row>
    <row r="41" spans="2:33">
      <c r="B41" s="522">
        <v>6</v>
      </c>
      <c r="C41" s="554"/>
      <c r="D41" s="555"/>
      <c r="E41" s="535"/>
      <c r="F41" s="806"/>
      <c r="G41" s="807"/>
      <c r="H41" s="864"/>
      <c r="I41" s="865"/>
      <c r="J41" s="857"/>
      <c r="K41" s="858"/>
      <c r="L41" s="689"/>
      <c r="M41" s="689"/>
      <c r="N41" s="809"/>
      <c r="O41" s="809"/>
      <c r="P41" s="820" t="s">
        <v>1896</v>
      </c>
      <c r="Q41" s="820"/>
      <c r="R41" s="820"/>
      <c r="S41" s="811"/>
      <c r="T41" s="811"/>
      <c r="U41" s="812"/>
      <c r="V41" s="642"/>
      <c r="W41" s="642"/>
      <c r="X41" s="642"/>
      <c r="AC41" s="219"/>
      <c r="AD41" s="219"/>
      <c r="AE41" s="210"/>
    </row>
    <row r="42" spans="2:33">
      <c r="B42" s="522">
        <v>7</v>
      </c>
      <c r="C42" s="554"/>
      <c r="D42" s="555"/>
      <c r="E42" s="535"/>
      <c r="F42" s="806"/>
      <c r="G42" s="807"/>
      <c r="H42" s="864"/>
      <c r="I42" s="865"/>
      <c r="J42" s="857"/>
      <c r="K42" s="858"/>
      <c r="L42" s="689"/>
      <c r="M42" s="689"/>
      <c r="N42" s="809"/>
      <c r="O42" s="809"/>
      <c r="P42" s="820" t="s">
        <v>1896</v>
      </c>
      <c r="Q42" s="820"/>
      <c r="R42" s="820"/>
      <c r="S42" s="811"/>
      <c r="T42" s="811"/>
      <c r="U42" s="812"/>
      <c r="V42" s="642"/>
      <c r="W42" s="642"/>
      <c r="X42" s="642"/>
      <c r="AC42" s="219"/>
      <c r="AD42" s="219"/>
      <c r="AE42" s="210"/>
    </row>
    <row r="43" spans="2:33">
      <c r="B43" s="522">
        <v>8</v>
      </c>
      <c r="C43" s="554"/>
      <c r="D43" s="555"/>
      <c r="E43" s="535"/>
      <c r="F43" s="806"/>
      <c r="G43" s="807"/>
      <c r="H43" s="864"/>
      <c r="I43" s="865"/>
      <c r="J43" s="857"/>
      <c r="K43" s="858"/>
      <c r="L43" s="689"/>
      <c r="M43" s="689"/>
      <c r="N43" s="809"/>
      <c r="O43" s="809"/>
      <c r="P43" s="820" t="s">
        <v>1896</v>
      </c>
      <c r="Q43" s="820"/>
      <c r="R43" s="820"/>
      <c r="S43" s="811"/>
      <c r="T43" s="811"/>
      <c r="U43" s="812"/>
      <c r="V43" s="642"/>
      <c r="W43" s="642"/>
      <c r="X43" s="642"/>
      <c r="AC43" s="219"/>
      <c r="AD43" s="219"/>
      <c r="AE43" s="209"/>
    </row>
    <row r="44" spans="2:33">
      <c r="B44" s="522">
        <v>9</v>
      </c>
      <c r="C44" s="554"/>
      <c r="D44" s="555"/>
      <c r="E44" s="535"/>
      <c r="F44" s="806"/>
      <c r="G44" s="807"/>
      <c r="H44" s="864"/>
      <c r="I44" s="865"/>
      <c r="J44" s="857"/>
      <c r="K44" s="858"/>
      <c r="L44" s="689"/>
      <c r="M44" s="689"/>
      <c r="N44" s="809"/>
      <c r="O44" s="809"/>
      <c r="P44" s="820" t="s">
        <v>1896</v>
      </c>
      <c r="Q44" s="820"/>
      <c r="R44" s="820"/>
      <c r="S44" s="811"/>
      <c r="T44" s="811"/>
      <c r="U44" s="812"/>
      <c r="V44" s="642"/>
      <c r="W44" s="642"/>
      <c r="X44" s="642"/>
      <c r="AC44" s="219"/>
      <c r="AD44" s="219"/>
      <c r="AE44" s="209"/>
    </row>
    <row r="45" spans="2:33" ht="13.8" thickBot="1">
      <c r="B45" s="523">
        <v>10</v>
      </c>
      <c r="C45" s="556"/>
      <c r="D45" s="557"/>
      <c r="E45" s="526"/>
      <c r="F45" s="913"/>
      <c r="G45" s="914"/>
      <c r="H45" s="866"/>
      <c r="I45" s="867"/>
      <c r="J45" s="852"/>
      <c r="K45" s="853"/>
      <c r="L45" s="728"/>
      <c r="M45" s="728"/>
      <c r="N45" s="890"/>
      <c r="O45" s="890"/>
      <c r="P45" s="917" t="s">
        <v>1896</v>
      </c>
      <c r="Q45" s="917"/>
      <c r="R45" s="917"/>
      <c r="S45" s="883"/>
      <c r="T45" s="883"/>
      <c r="U45" s="884"/>
      <c r="V45" s="642"/>
      <c r="W45" s="642"/>
      <c r="X45" s="642"/>
      <c r="AC45" s="219"/>
      <c r="AD45" s="219"/>
      <c r="AE45" s="209"/>
    </row>
    <row r="46" spans="2:33" ht="19.5" customHeight="1" thickTop="1" thickBot="1">
      <c r="B46" s="20" t="s">
        <v>1856</v>
      </c>
      <c r="C46" s="117"/>
      <c r="D46" s="117"/>
      <c r="E46" s="170"/>
      <c r="F46" s="170"/>
      <c r="G46" s="170"/>
      <c r="H46" s="170"/>
      <c r="I46" s="170"/>
      <c r="J46" s="168"/>
      <c r="K46" s="168"/>
      <c r="L46" s="168"/>
      <c r="M46" s="168"/>
      <c r="N46" s="169"/>
      <c r="O46" s="169"/>
      <c r="P46" s="196"/>
      <c r="Q46" s="197"/>
      <c r="R46" s="197"/>
      <c r="S46" s="197"/>
      <c r="T46" s="198"/>
      <c r="U46" s="198"/>
      <c r="V46" s="229"/>
      <c r="W46" s="229"/>
      <c r="X46" s="230"/>
      <c r="Y46" s="230"/>
      <c r="Z46" s="169"/>
      <c r="AA46" s="52"/>
      <c r="AB46" s="189"/>
      <c r="AC46" s="189"/>
      <c r="AD46" s="189"/>
      <c r="AE46" s="53"/>
    </row>
    <row r="47" spans="2:33" ht="21" customHeight="1" thickTop="1">
      <c r="B47" s="647" t="s">
        <v>1912</v>
      </c>
      <c r="C47" s="647"/>
      <c r="D47" s="647"/>
      <c r="E47" s="647"/>
      <c r="F47" s="647"/>
      <c r="G47" s="647"/>
      <c r="H47" s="647"/>
      <c r="I47" s="647"/>
      <c r="J47" s="647"/>
      <c r="K47" s="647"/>
      <c r="L47" s="647"/>
      <c r="M47" s="647"/>
      <c r="N47" s="647"/>
      <c r="O47" s="647"/>
      <c r="P47" s="647"/>
      <c r="Q47" s="647"/>
      <c r="R47" s="647"/>
      <c r="S47" s="647"/>
      <c r="T47" s="647"/>
      <c r="U47" s="647"/>
      <c r="V47" s="195"/>
      <c r="W47" s="195"/>
      <c r="X47" s="195"/>
      <c r="Y47" s="195"/>
      <c r="Z47" s="195"/>
      <c r="AA47" s="195"/>
      <c r="AB47" s="195"/>
      <c r="AE47" s="53"/>
    </row>
    <row r="48" spans="2:33" s="512" customFormat="1">
      <c r="B48" s="848" t="s">
        <v>695</v>
      </c>
      <c r="C48" s="846" t="s">
        <v>2382</v>
      </c>
      <c r="D48" s="846" t="s">
        <v>2383</v>
      </c>
      <c r="E48" s="850" t="s">
        <v>2390</v>
      </c>
      <c r="F48" s="851"/>
      <c r="G48" s="851"/>
      <c r="H48" s="851"/>
      <c r="I48" s="851"/>
      <c r="J48" s="851"/>
      <c r="K48" s="843" t="s">
        <v>2384</v>
      </c>
      <c r="L48" s="839"/>
      <c r="M48" s="693"/>
      <c r="N48" s="839" t="s">
        <v>1897</v>
      </c>
      <c r="O48" s="839"/>
      <c r="P48" s="840"/>
      <c r="Q48" s="839" t="s">
        <v>1275</v>
      </c>
      <c r="R48" s="839"/>
      <c r="S48" s="839"/>
      <c r="T48" s="839"/>
      <c r="U48" s="927"/>
      <c r="V48" s="48"/>
      <c r="W48" s="220"/>
      <c r="X48" s="220"/>
      <c r="Y48" s="48"/>
      <c r="Z48" s="264"/>
      <c r="AA48" s="264"/>
    </row>
    <row r="49" spans="1:26" ht="27" customHeight="1">
      <c r="B49" s="849"/>
      <c r="C49" s="847"/>
      <c r="D49" s="847"/>
      <c r="E49" s="529" t="s">
        <v>1882</v>
      </c>
      <c r="F49" s="530" t="s">
        <v>15</v>
      </c>
      <c r="G49" s="844" t="s">
        <v>67</v>
      </c>
      <c r="H49" s="841"/>
      <c r="I49" s="841"/>
      <c r="J49" s="841"/>
      <c r="K49" s="844"/>
      <c r="L49" s="841"/>
      <c r="M49" s="845"/>
      <c r="N49" s="841"/>
      <c r="O49" s="841"/>
      <c r="P49" s="842"/>
      <c r="Q49" s="691"/>
      <c r="R49" s="691"/>
      <c r="S49" s="691"/>
      <c r="T49" s="691"/>
      <c r="U49" s="684"/>
      <c r="V49" s="48"/>
      <c r="W49" s="220"/>
      <c r="X49" s="220"/>
      <c r="Y49" s="48"/>
    </row>
    <row r="50" spans="1:26">
      <c r="B50" s="524">
        <v>1</v>
      </c>
      <c r="C50" s="558"/>
      <c r="D50" s="559"/>
      <c r="E50" s="528"/>
      <c r="F50" s="235"/>
      <c r="G50" s="893"/>
      <c r="H50" s="893"/>
      <c r="I50" s="893"/>
      <c r="J50" s="893"/>
      <c r="K50" s="885"/>
      <c r="L50" s="885"/>
      <c r="M50" s="885"/>
      <c r="N50" s="887" t="s">
        <v>1896</v>
      </c>
      <c r="O50" s="887"/>
      <c r="P50" s="888"/>
      <c r="Q50" s="859"/>
      <c r="R50" s="860"/>
      <c r="S50" s="860"/>
      <c r="T50" s="860"/>
      <c r="U50" s="861"/>
      <c r="V50" s="48"/>
      <c r="W50" s="221"/>
      <c r="X50" s="221"/>
      <c r="Y50" s="48"/>
    </row>
    <row r="51" spans="1:26">
      <c r="B51" s="524">
        <v>2</v>
      </c>
      <c r="C51" s="554"/>
      <c r="D51" s="560"/>
      <c r="E51" s="217"/>
      <c r="F51" s="356"/>
      <c r="G51" s="862"/>
      <c r="H51" s="862"/>
      <c r="I51" s="862"/>
      <c r="J51" s="862"/>
      <c r="K51" s="863"/>
      <c r="L51" s="863"/>
      <c r="M51" s="863"/>
      <c r="N51" s="809" t="s">
        <v>1896</v>
      </c>
      <c r="O51" s="809"/>
      <c r="P51" s="889"/>
      <c r="Q51" s="854"/>
      <c r="R51" s="855"/>
      <c r="S51" s="855"/>
      <c r="T51" s="855"/>
      <c r="U51" s="856"/>
      <c r="V51" s="642" t="s">
        <v>702</v>
      </c>
      <c r="W51" s="642"/>
      <c r="X51" s="642"/>
      <c r="Y51" s="642"/>
      <c r="Z51" s="642"/>
    </row>
    <row r="52" spans="1:26">
      <c r="B52" s="524">
        <v>3</v>
      </c>
      <c r="C52" s="554"/>
      <c r="D52" s="560"/>
      <c r="E52" s="217"/>
      <c r="F52" s="356"/>
      <c r="G52" s="862"/>
      <c r="H52" s="862"/>
      <c r="I52" s="862"/>
      <c r="J52" s="862"/>
      <c r="K52" s="863"/>
      <c r="L52" s="863"/>
      <c r="M52" s="863"/>
      <c r="N52" s="809" t="s">
        <v>1896</v>
      </c>
      <c r="O52" s="809"/>
      <c r="P52" s="889"/>
      <c r="Q52" s="854"/>
      <c r="R52" s="855"/>
      <c r="S52" s="855"/>
      <c r="T52" s="855"/>
      <c r="U52" s="856"/>
      <c r="V52" s="642"/>
      <c r="W52" s="642"/>
      <c r="X52" s="642"/>
      <c r="Y52" s="642"/>
      <c r="Z52" s="642"/>
    </row>
    <row r="53" spans="1:26">
      <c r="B53" s="524">
        <v>4</v>
      </c>
      <c r="C53" s="554"/>
      <c r="D53" s="560"/>
      <c r="E53" s="217"/>
      <c r="F53" s="356"/>
      <c r="G53" s="862"/>
      <c r="H53" s="862"/>
      <c r="I53" s="862"/>
      <c r="J53" s="862"/>
      <c r="K53" s="863"/>
      <c r="L53" s="863"/>
      <c r="M53" s="863"/>
      <c r="N53" s="809" t="s">
        <v>1896</v>
      </c>
      <c r="O53" s="809"/>
      <c r="P53" s="889"/>
      <c r="Q53" s="854"/>
      <c r="R53" s="855"/>
      <c r="S53" s="855"/>
      <c r="T53" s="855"/>
      <c r="U53" s="856"/>
      <c r="V53" s="642"/>
      <c r="W53" s="642"/>
      <c r="X53" s="642"/>
      <c r="Y53" s="642"/>
      <c r="Z53" s="642"/>
    </row>
    <row r="54" spans="1:26">
      <c r="B54" s="524">
        <v>5</v>
      </c>
      <c r="C54" s="554"/>
      <c r="D54" s="560"/>
      <c r="E54" s="217"/>
      <c r="F54" s="356"/>
      <c r="G54" s="862"/>
      <c r="H54" s="862"/>
      <c r="I54" s="862"/>
      <c r="J54" s="862"/>
      <c r="K54" s="863"/>
      <c r="L54" s="863"/>
      <c r="M54" s="863"/>
      <c r="N54" s="809" t="s">
        <v>1896</v>
      </c>
      <c r="O54" s="809"/>
      <c r="P54" s="889"/>
      <c r="Q54" s="854"/>
      <c r="R54" s="855"/>
      <c r="S54" s="855"/>
      <c r="T54" s="855"/>
      <c r="U54" s="856"/>
      <c r="V54" s="642"/>
      <c r="W54" s="642"/>
      <c r="X54" s="642"/>
      <c r="Y54" s="642"/>
      <c r="Z54" s="642"/>
    </row>
    <row r="55" spans="1:26">
      <c r="B55" s="524">
        <v>6</v>
      </c>
      <c r="C55" s="554"/>
      <c r="D55" s="560"/>
      <c r="E55" s="217"/>
      <c r="F55" s="356"/>
      <c r="G55" s="862"/>
      <c r="H55" s="862"/>
      <c r="I55" s="862"/>
      <c r="J55" s="862"/>
      <c r="K55" s="863"/>
      <c r="L55" s="863"/>
      <c r="M55" s="863"/>
      <c r="N55" s="809" t="s">
        <v>1896</v>
      </c>
      <c r="O55" s="809"/>
      <c r="P55" s="889"/>
      <c r="Q55" s="854"/>
      <c r="R55" s="855"/>
      <c r="S55" s="855"/>
      <c r="T55" s="855"/>
      <c r="U55" s="856"/>
      <c r="V55" s="642"/>
      <c r="W55" s="642"/>
      <c r="X55" s="642"/>
      <c r="Y55" s="642"/>
      <c r="Z55" s="642"/>
    </row>
    <row r="56" spans="1:26">
      <c r="B56" s="524">
        <v>7</v>
      </c>
      <c r="C56" s="554"/>
      <c r="D56" s="560"/>
      <c r="E56" s="217"/>
      <c r="F56" s="356"/>
      <c r="G56" s="862"/>
      <c r="H56" s="862"/>
      <c r="I56" s="862"/>
      <c r="J56" s="862"/>
      <c r="K56" s="863"/>
      <c r="L56" s="863"/>
      <c r="M56" s="863"/>
      <c r="N56" s="809" t="s">
        <v>1896</v>
      </c>
      <c r="O56" s="809"/>
      <c r="P56" s="889"/>
      <c r="Q56" s="854"/>
      <c r="R56" s="855"/>
      <c r="S56" s="855"/>
      <c r="T56" s="855"/>
      <c r="U56" s="856"/>
      <c r="V56" s="642"/>
      <c r="W56" s="642"/>
      <c r="X56" s="642"/>
      <c r="Y56" s="642"/>
      <c r="Z56" s="642"/>
    </row>
    <row r="57" spans="1:26">
      <c r="B57" s="524">
        <v>8</v>
      </c>
      <c r="C57" s="554"/>
      <c r="D57" s="560"/>
      <c r="E57" s="217"/>
      <c r="F57" s="356"/>
      <c r="G57" s="862"/>
      <c r="H57" s="862"/>
      <c r="I57" s="862"/>
      <c r="J57" s="862"/>
      <c r="K57" s="863"/>
      <c r="L57" s="863"/>
      <c r="M57" s="863"/>
      <c r="N57" s="809" t="s">
        <v>1896</v>
      </c>
      <c r="O57" s="809"/>
      <c r="P57" s="889"/>
      <c r="Q57" s="854"/>
      <c r="R57" s="855"/>
      <c r="S57" s="855"/>
      <c r="T57" s="855"/>
      <c r="U57" s="856"/>
      <c r="V57" s="48"/>
      <c r="W57" s="221"/>
      <c r="X57" s="221"/>
      <c r="Y57" s="48"/>
    </row>
    <row r="58" spans="1:26">
      <c r="B58" s="524">
        <v>9</v>
      </c>
      <c r="C58" s="554"/>
      <c r="D58" s="560"/>
      <c r="E58" s="217"/>
      <c r="F58" s="356"/>
      <c r="G58" s="862"/>
      <c r="H58" s="862"/>
      <c r="I58" s="862"/>
      <c r="J58" s="862"/>
      <c r="K58" s="863"/>
      <c r="L58" s="863"/>
      <c r="M58" s="863"/>
      <c r="N58" s="809" t="s">
        <v>1896</v>
      </c>
      <c r="O58" s="809"/>
      <c r="P58" s="889"/>
      <c r="Q58" s="854"/>
      <c r="R58" s="855"/>
      <c r="S58" s="855"/>
      <c r="T58" s="855"/>
      <c r="U58" s="856"/>
      <c r="V58" s="48"/>
      <c r="W58" s="221"/>
      <c r="X58" s="221"/>
      <c r="Y58" s="48"/>
    </row>
    <row r="59" spans="1:26" ht="13.8" thickBot="1">
      <c r="B59" s="525">
        <v>10</v>
      </c>
      <c r="C59" s="556"/>
      <c r="D59" s="561"/>
      <c r="E59" s="218"/>
      <c r="F59" s="358"/>
      <c r="G59" s="886"/>
      <c r="H59" s="886"/>
      <c r="I59" s="886"/>
      <c r="J59" s="886"/>
      <c r="K59" s="892"/>
      <c r="L59" s="892"/>
      <c r="M59" s="892"/>
      <c r="N59" s="890" t="s">
        <v>1896</v>
      </c>
      <c r="O59" s="890"/>
      <c r="P59" s="891"/>
      <c r="Q59" s="868"/>
      <c r="R59" s="869"/>
      <c r="S59" s="869"/>
      <c r="T59" s="869"/>
      <c r="U59" s="870"/>
      <c r="V59" s="48"/>
      <c r="W59" s="221"/>
      <c r="X59" s="221"/>
      <c r="Y59" s="48"/>
    </row>
    <row r="60" spans="1:26" ht="10.5" customHeight="1" thickTop="1">
      <c r="B60" s="642" t="s">
        <v>701</v>
      </c>
      <c r="C60" s="642"/>
      <c r="D60" s="642"/>
      <c r="E60" s="642"/>
      <c r="F60" s="642"/>
      <c r="G60" s="642"/>
      <c r="H60" s="642"/>
      <c r="I60" s="642"/>
      <c r="J60" s="642"/>
      <c r="K60" s="642"/>
      <c r="L60" s="642"/>
      <c r="M60" s="642"/>
      <c r="N60" s="642"/>
      <c r="O60" s="642"/>
      <c r="P60" s="642"/>
      <c r="Q60" s="642"/>
      <c r="R60" s="642"/>
      <c r="S60" s="642"/>
      <c r="T60" s="642"/>
      <c r="U60" s="208"/>
      <c r="V60" s="189"/>
    </row>
    <row r="61" spans="1:26" ht="12.75" customHeight="1">
      <c r="B61" s="939"/>
      <c r="C61" s="939"/>
      <c r="D61" s="939"/>
      <c r="E61" s="939"/>
      <c r="F61" s="939"/>
      <c r="G61" s="939"/>
      <c r="H61" s="939"/>
      <c r="I61" s="939"/>
      <c r="J61" s="939"/>
      <c r="K61" s="939"/>
      <c r="L61" s="939"/>
      <c r="M61" s="939"/>
      <c r="N61" s="939"/>
      <c r="O61" s="939"/>
      <c r="P61" s="939"/>
      <c r="Q61" s="939"/>
      <c r="R61" s="939"/>
      <c r="S61" s="939"/>
      <c r="T61" s="939"/>
      <c r="U61" s="199"/>
      <c r="V61" s="180"/>
    </row>
    <row r="62" spans="1:26">
      <c r="B62" s="939"/>
      <c r="C62" s="939"/>
      <c r="D62" s="939"/>
      <c r="E62" s="939"/>
      <c r="F62" s="939"/>
      <c r="G62" s="939"/>
      <c r="H62" s="939"/>
      <c r="I62" s="939"/>
      <c r="J62" s="939"/>
      <c r="K62" s="939"/>
      <c r="L62" s="939"/>
      <c r="M62" s="939"/>
      <c r="N62" s="939"/>
      <c r="O62" s="939"/>
      <c r="P62" s="939"/>
      <c r="Q62" s="939"/>
      <c r="R62" s="939"/>
      <c r="S62" s="939"/>
      <c r="T62" s="939"/>
      <c r="U62" s="199"/>
      <c r="V62" s="180"/>
    </row>
    <row r="63" spans="1:26">
      <c r="B63" s="939"/>
      <c r="C63" s="939"/>
      <c r="D63" s="939"/>
      <c r="E63" s="939"/>
      <c r="F63" s="939"/>
      <c r="G63" s="939"/>
      <c r="H63" s="939"/>
      <c r="I63" s="939"/>
      <c r="J63" s="939"/>
      <c r="K63" s="939"/>
      <c r="L63" s="939"/>
      <c r="M63" s="939"/>
      <c r="N63" s="939"/>
      <c r="O63" s="939"/>
      <c r="P63" s="939"/>
      <c r="Q63" s="939"/>
      <c r="R63" s="939"/>
      <c r="S63" s="939"/>
      <c r="T63" s="939"/>
      <c r="U63" s="199"/>
      <c r="V63" s="180"/>
    </row>
    <row r="64" spans="1:26" ht="12.75" hidden="1" customHeight="1">
      <c r="A64" s="52"/>
      <c r="B64" s="181" t="s">
        <v>2407</v>
      </c>
      <c r="C64" s="587" t="s">
        <v>2438</v>
      </c>
      <c r="D64" s="181"/>
      <c r="E64" s="181"/>
      <c r="F64" s="181"/>
      <c r="G64" s="181"/>
      <c r="H64" s="181"/>
      <c r="I64" s="181"/>
      <c r="J64" s="181"/>
      <c r="K64" s="181"/>
      <c r="L64" s="181"/>
      <c r="M64" s="181"/>
      <c r="N64" s="181"/>
      <c r="O64" s="181"/>
      <c r="P64" s="181"/>
      <c r="Q64" s="180"/>
      <c r="R64" s="180"/>
      <c r="S64" s="180"/>
      <c r="T64" s="1"/>
      <c r="U64" s="1"/>
    </row>
    <row r="65" spans="1:28" ht="9.75" customHeight="1">
      <c r="A65" s="52"/>
      <c r="B65" s="1"/>
      <c r="C65" s="1"/>
      <c r="D65" s="1"/>
      <c r="E65" s="1"/>
      <c r="F65" s="1"/>
      <c r="G65" s="1"/>
      <c r="H65" s="1"/>
      <c r="I65" s="1"/>
      <c r="J65" s="1"/>
      <c r="K65" s="1"/>
      <c r="L65" s="1"/>
      <c r="M65" s="1"/>
      <c r="N65" s="1"/>
      <c r="O65" s="1"/>
      <c r="P65" s="1"/>
      <c r="Q65" s="1"/>
      <c r="R65" s="1"/>
      <c r="S65" s="1"/>
      <c r="T65" s="1"/>
      <c r="U65" s="1"/>
    </row>
    <row r="66" spans="1:28">
      <c r="A66" s="52"/>
      <c r="B66" s="181"/>
      <c r="C66" s="181"/>
      <c r="D66" s="181"/>
      <c r="E66" s="181"/>
      <c r="F66" s="181"/>
      <c r="G66" s="181"/>
      <c r="H66" s="181"/>
      <c r="I66" s="181"/>
      <c r="J66" s="181"/>
      <c r="K66" s="181"/>
      <c r="L66" s="181"/>
      <c r="M66" s="181"/>
      <c r="N66" s="181"/>
      <c r="O66" s="181"/>
      <c r="P66" s="181"/>
      <c r="Q66" s="181"/>
      <c r="R66" s="181"/>
      <c r="S66" s="181"/>
      <c r="T66" s="1"/>
      <c r="U66" s="1"/>
      <c r="W66" s="1"/>
      <c r="X66" s="1"/>
      <c r="Y66" s="176"/>
      <c r="Z66" s="176"/>
      <c r="AA66" s="176"/>
      <c r="AB66" s="52"/>
    </row>
    <row r="67" spans="1:28">
      <c r="A67" s="52"/>
      <c r="B67" s="52"/>
      <c r="C67" s="52"/>
      <c r="D67" s="52"/>
      <c r="E67" s="52"/>
      <c r="F67" s="52"/>
      <c r="G67" s="52"/>
      <c r="H67" s="52"/>
      <c r="I67" s="52"/>
      <c r="J67" s="52"/>
      <c r="K67" s="52"/>
      <c r="L67" s="52"/>
      <c r="M67" s="52"/>
      <c r="N67" s="1"/>
      <c r="O67" s="1"/>
      <c r="P67" s="1"/>
      <c r="Q67" s="1"/>
      <c r="R67" s="1"/>
      <c r="S67" s="1"/>
      <c r="T67" s="1"/>
      <c r="U67" s="1"/>
      <c r="W67" s="1"/>
      <c r="X67" s="1"/>
      <c r="Y67" s="176"/>
      <c r="Z67" s="176"/>
      <c r="AA67" s="176"/>
      <c r="AB67" s="52"/>
    </row>
    <row r="68" spans="1:28">
      <c r="A68" s="52"/>
      <c r="B68" s="1"/>
      <c r="C68" s="1"/>
      <c r="D68" s="1"/>
      <c r="E68" s="1"/>
      <c r="F68" s="1"/>
      <c r="G68" s="1"/>
      <c r="H68" s="1"/>
      <c r="I68" s="1"/>
      <c r="J68" s="1"/>
      <c r="K68" s="1"/>
      <c r="L68" s="1"/>
      <c r="M68" s="1"/>
      <c r="N68" s="1"/>
      <c r="O68" s="1"/>
      <c r="P68" s="1"/>
      <c r="Q68" s="1"/>
      <c r="R68" s="1"/>
      <c r="S68" s="1"/>
      <c r="T68" s="1"/>
      <c r="U68" s="1"/>
      <c r="W68" s="1"/>
      <c r="X68" s="1"/>
      <c r="Y68" s="176"/>
      <c r="Z68" s="176"/>
      <c r="AA68" s="176"/>
      <c r="AB68" s="52"/>
    </row>
    <row r="69" spans="1:28">
      <c r="W69" s="1"/>
      <c r="X69" s="1"/>
      <c r="Y69" s="176"/>
      <c r="Z69" s="176"/>
      <c r="AA69" s="176"/>
      <c r="AB69" s="52"/>
    </row>
    <row r="70" spans="1:28">
      <c r="W70" s="1"/>
      <c r="X70" s="1"/>
      <c r="Y70" s="176"/>
      <c r="Z70" s="176"/>
      <c r="AA70" s="176"/>
      <c r="AB70" s="52"/>
    </row>
    <row r="71" spans="1:28">
      <c r="W71" s="1"/>
      <c r="X71" s="1"/>
      <c r="Y71" s="1"/>
      <c r="Z71" s="1"/>
      <c r="AA71" s="1"/>
      <c r="AB71" s="52"/>
    </row>
    <row r="73" spans="1:28">
      <c r="B73"/>
      <c r="C73" s="52"/>
      <c r="D73" s="52"/>
      <c r="E73"/>
      <c r="F73" s="52"/>
      <c r="G73" s="52"/>
      <c r="H73" s="52"/>
      <c r="I73" s="52"/>
    </row>
  </sheetData>
  <sheetProtection algorithmName="SHA-512" hashValue="rB/tf5HuOe384Qc51fuORPNILUq2bzcglbAgId6E+8P5LApgop76+ITzXyF0NJItO4PQlfkFi7QBR9sr91Gy7w==" saltValue="+I7iKg6+RBJhBptR/pekqA==" spinCount="100000" sheet="1" formatCells="0" formatColumns="0" formatRows="0" selectLockedCells="1"/>
  <dataConsolidate link="1"/>
  <mergeCells count="211">
    <mergeCell ref="H39:I39"/>
    <mergeCell ref="H41:I41"/>
    <mergeCell ref="H42:I42"/>
    <mergeCell ref="H43:I43"/>
    <mergeCell ref="H44:I44"/>
    <mergeCell ref="B22:D22"/>
    <mergeCell ref="B23:D23"/>
    <mergeCell ref="E21:H21"/>
    <mergeCell ref="S36:U36"/>
    <mergeCell ref="S37:U37"/>
    <mergeCell ref="B24:D24"/>
    <mergeCell ref="B28:D28"/>
    <mergeCell ref="E24:H24"/>
    <mergeCell ref="B29:H29"/>
    <mergeCell ref="S35:U35"/>
    <mergeCell ref="P35:R35"/>
    <mergeCell ref="N35:O35"/>
    <mergeCell ref="P37:R37"/>
    <mergeCell ref="F35:G35"/>
    <mergeCell ref="J35:K35"/>
    <mergeCell ref="J36:K36"/>
    <mergeCell ref="J37:K37"/>
    <mergeCell ref="H37:I37"/>
    <mergeCell ref="F36:G36"/>
    <mergeCell ref="H36:I36"/>
    <mergeCell ref="N37:O37"/>
    <mergeCell ref="J13:L13"/>
    <mergeCell ref="J14:L14"/>
    <mergeCell ref="J15:L15"/>
    <mergeCell ref="J16:L16"/>
    <mergeCell ref="E22:H22"/>
    <mergeCell ref="E23:H23"/>
    <mergeCell ref="M18:P18"/>
    <mergeCell ref="M23:P23"/>
    <mergeCell ref="M26:P26"/>
    <mergeCell ref="M27:P27"/>
    <mergeCell ref="M28:P28"/>
    <mergeCell ref="L37:M37"/>
    <mergeCell ref="W5:Z5"/>
    <mergeCell ref="W6:W7"/>
    <mergeCell ref="J6:L6"/>
    <mergeCell ref="J7:L7"/>
    <mergeCell ref="R15:U15"/>
    <mergeCell ref="X8:Z8"/>
    <mergeCell ref="X9:Z9"/>
    <mergeCell ref="B60:T63"/>
    <mergeCell ref="B20:E20"/>
    <mergeCell ref="E10:H10"/>
    <mergeCell ref="J29:P32"/>
    <mergeCell ref="R29:U32"/>
    <mergeCell ref="B13:D13"/>
    <mergeCell ref="B14:D14"/>
    <mergeCell ref="B15:D15"/>
    <mergeCell ref="B16:D16"/>
    <mergeCell ref="B17:D17"/>
    <mergeCell ref="B18:D18"/>
    <mergeCell ref="P40:R40"/>
    <mergeCell ref="P41:R41"/>
    <mergeCell ref="P36:R36"/>
    <mergeCell ref="N36:O36"/>
    <mergeCell ref="M17:P17"/>
    <mergeCell ref="J8:K10"/>
    <mergeCell ref="L38:M38"/>
    <mergeCell ref="L39:M39"/>
    <mergeCell ref="V51:Z56"/>
    <mergeCell ref="B12:E12"/>
    <mergeCell ref="W13:Y24"/>
    <mergeCell ref="B26:H27"/>
    <mergeCell ref="V35:X45"/>
    <mergeCell ref="F45:G45"/>
    <mergeCell ref="E28:H28"/>
    <mergeCell ref="H35:I35"/>
    <mergeCell ref="N44:O44"/>
    <mergeCell ref="N45:O45"/>
    <mergeCell ref="P38:R38"/>
    <mergeCell ref="P39:R39"/>
    <mergeCell ref="Q51:U51"/>
    <mergeCell ref="P43:R43"/>
    <mergeCell ref="P44:R44"/>
    <mergeCell ref="P45:R45"/>
    <mergeCell ref="K52:M52"/>
    <mergeCell ref="S42:U42"/>
    <mergeCell ref="F37:G37"/>
    <mergeCell ref="L35:M35"/>
    <mergeCell ref="B30:H32"/>
    <mergeCell ref="Q48:U49"/>
    <mergeCell ref="B5:E5"/>
    <mergeCell ref="E6:H6"/>
    <mergeCell ref="E7:H7"/>
    <mergeCell ref="E8:H8"/>
    <mergeCell ref="E9:H9"/>
    <mergeCell ref="M19:P19"/>
    <mergeCell ref="M21:P21"/>
    <mergeCell ref="E13:H13"/>
    <mergeCell ref="E14:H14"/>
    <mergeCell ref="E15:H15"/>
    <mergeCell ref="E16:H16"/>
    <mergeCell ref="E17:H17"/>
    <mergeCell ref="E18:H18"/>
    <mergeCell ref="M13:P13"/>
    <mergeCell ref="M14:P14"/>
    <mergeCell ref="M15:P15"/>
    <mergeCell ref="M16:P16"/>
    <mergeCell ref="B6:B9"/>
    <mergeCell ref="J21:L21"/>
    <mergeCell ref="B21:D21"/>
    <mergeCell ref="G59:J59"/>
    <mergeCell ref="N50:P50"/>
    <mergeCell ref="N51:P51"/>
    <mergeCell ref="N52:P52"/>
    <mergeCell ref="N53:P53"/>
    <mergeCell ref="N54:P54"/>
    <mergeCell ref="N55:P55"/>
    <mergeCell ref="N56:P56"/>
    <mergeCell ref="N57:P57"/>
    <mergeCell ref="N58:P58"/>
    <mergeCell ref="N59:P59"/>
    <mergeCell ref="K58:M58"/>
    <mergeCell ref="K59:M59"/>
    <mergeCell ref="K57:M57"/>
    <mergeCell ref="G51:J51"/>
    <mergeCell ref="K55:M55"/>
    <mergeCell ref="K56:M56"/>
    <mergeCell ref="G55:J55"/>
    <mergeCell ref="K51:M51"/>
    <mergeCell ref="G53:J53"/>
    <mergeCell ref="G52:J52"/>
    <mergeCell ref="G56:J56"/>
    <mergeCell ref="G57:J57"/>
    <mergeCell ref="G50:J50"/>
    <mergeCell ref="Q59:U59"/>
    <mergeCell ref="M24:P25"/>
    <mergeCell ref="R23:U25"/>
    <mergeCell ref="S43:U43"/>
    <mergeCell ref="S44:U44"/>
    <mergeCell ref="S45:U45"/>
    <mergeCell ref="Q53:U53"/>
    <mergeCell ref="Q54:U54"/>
    <mergeCell ref="Q55:U55"/>
    <mergeCell ref="Q56:U56"/>
    <mergeCell ref="Q57:U57"/>
    <mergeCell ref="L44:M44"/>
    <mergeCell ref="L45:M45"/>
    <mergeCell ref="N38:O38"/>
    <mergeCell ref="N39:O39"/>
    <mergeCell ref="N40:O40"/>
    <mergeCell ref="N41:O41"/>
    <mergeCell ref="L36:M36"/>
    <mergeCell ref="N42:O42"/>
    <mergeCell ref="S40:U40"/>
    <mergeCell ref="K50:M50"/>
    <mergeCell ref="L42:M42"/>
    <mergeCell ref="B34:U34"/>
    <mergeCell ref="G58:J58"/>
    <mergeCell ref="Q58:U58"/>
    <mergeCell ref="L43:M43"/>
    <mergeCell ref="J43:K43"/>
    <mergeCell ref="J44:K44"/>
    <mergeCell ref="Q50:U50"/>
    <mergeCell ref="S38:U38"/>
    <mergeCell ref="S39:U39"/>
    <mergeCell ref="G54:J54"/>
    <mergeCell ref="K54:M54"/>
    <mergeCell ref="K53:M53"/>
    <mergeCell ref="F44:G44"/>
    <mergeCell ref="J40:K40"/>
    <mergeCell ref="L40:M40"/>
    <mergeCell ref="J38:K38"/>
    <mergeCell ref="F38:G38"/>
    <mergeCell ref="H38:I38"/>
    <mergeCell ref="L41:M41"/>
    <mergeCell ref="J41:K41"/>
    <mergeCell ref="J42:K42"/>
    <mergeCell ref="H45:I45"/>
    <mergeCell ref="H40:I40"/>
    <mergeCell ref="J39:K39"/>
    <mergeCell ref="Q52:U52"/>
    <mergeCell ref="B47:U47"/>
    <mergeCell ref="N48:P49"/>
    <mergeCell ref="K48:M49"/>
    <mergeCell ref="C48:C49"/>
    <mergeCell ref="B48:B49"/>
    <mergeCell ref="E48:J48"/>
    <mergeCell ref="D48:D49"/>
    <mergeCell ref="G49:J49"/>
    <mergeCell ref="F43:G43"/>
    <mergeCell ref="J45:K45"/>
    <mergeCell ref="F41:G41"/>
    <mergeCell ref="F42:G42"/>
    <mergeCell ref="F39:G39"/>
    <mergeCell ref="F40:G40"/>
    <mergeCell ref="N43:O43"/>
    <mergeCell ref="M2:N2"/>
    <mergeCell ref="S41:U41"/>
    <mergeCell ref="J24:L25"/>
    <mergeCell ref="J26:L26"/>
    <mergeCell ref="P42:R42"/>
    <mergeCell ref="R5:U5"/>
    <mergeCell ref="R12:U12"/>
    <mergeCell ref="R20:U20"/>
    <mergeCell ref="R27:U28"/>
    <mergeCell ref="J20:P20"/>
    <mergeCell ref="J12:P12"/>
    <mergeCell ref="J5:P5"/>
    <mergeCell ref="R16:U18"/>
    <mergeCell ref="M6:P6"/>
    <mergeCell ref="M7:P7"/>
    <mergeCell ref="M8:P8"/>
    <mergeCell ref="M9:P9"/>
    <mergeCell ref="M10:P10"/>
    <mergeCell ref="M22:P22"/>
  </mergeCells>
  <conditionalFormatting sqref="R23">
    <cfRule type="expression" dxfId="56" priority="99">
      <formula>$U$21="Yes"</formula>
    </cfRule>
  </conditionalFormatting>
  <conditionalFormatting sqref="M13">
    <cfRule type="expression" dxfId="55" priority="87">
      <formula>AND(SEC_AGENT_NAME="",OR(SEC_AGENT_PHONE&lt;&gt;"",SEC_AGENT_FAX&lt;&gt;"",SEC_AGENT_EMAIL&lt;&gt;""))</formula>
    </cfRule>
    <cfRule type="expression" dxfId="54" priority="93">
      <formula>AND(OR(SEC_AGENT_PHONE&lt;&gt;"",SEC_AGENT_FAX&lt;&gt;"",SEC_AGENT_EMAIL&lt;&gt;""),SEC_AGENT_NAME="")</formula>
    </cfRule>
  </conditionalFormatting>
  <conditionalFormatting sqref="M14:M16">
    <cfRule type="expression" dxfId="53" priority="86">
      <formula>AND(SEC_AGENT_NAME&lt;&gt;"",SEC_AGENT_PHONE="",SEC_AGENT_FAX="",SEC_AGENT_EMAIL="")</formula>
    </cfRule>
  </conditionalFormatting>
  <conditionalFormatting sqref="J24">
    <cfRule type="expression" dxfId="52" priority="84">
      <formula>AND(SEC_ISSC_ISVALID="TRUE")</formula>
    </cfRule>
  </conditionalFormatting>
  <conditionalFormatting sqref="S36:S45">
    <cfRule type="expression" dxfId="51" priority="437">
      <formula>$P36="Yes"</formula>
    </cfRule>
  </conditionalFormatting>
  <conditionalFormatting sqref="M26">
    <cfRule type="expression" dxfId="50" priority="34">
      <formula>AND(M26="",OR(L26&lt;&gt;"",N26&lt;&gt;"",#REF!&lt;&gt;"",Q26&lt;&gt;"",S26&lt;&gt;"",W26&lt;&gt;"",AB26&lt;&gt;""))</formula>
    </cfRule>
  </conditionalFormatting>
  <conditionalFormatting sqref="J29:P32">
    <cfRule type="expression" dxfId="49" priority="32">
      <formula>$M$27="FALSE"</formula>
    </cfRule>
  </conditionalFormatting>
  <conditionalFormatting sqref="X11">
    <cfRule type="containsErrors" dxfId="48" priority="30">
      <formula>ISERROR(X11)</formula>
    </cfRule>
  </conditionalFormatting>
  <conditionalFormatting sqref="O2">
    <cfRule type="expression" dxfId="47" priority="24">
      <formula>$O$2&lt;&gt;"Issues: None"</formula>
    </cfRule>
  </conditionalFormatting>
  <conditionalFormatting sqref="M2">
    <cfRule type="expression" dxfId="46" priority="17">
      <formula>SEC_STATUS="Invalid"</formula>
    </cfRule>
    <cfRule type="expression" dxfId="45" priority="18">
      <formula>SEC_STATUS="VALID"</formula>
    </cfRule>
  </conditionalFormatting>
  <conditionalFormatting sqref="X8">
    <cfRule type="containsErrors" dxfId="44" priority="13">
      <formula>ISERROR(X8)</formula>
    </cfRule>
  </conditionalFormatting>
  <conditionalFormatting sqref="X9">
    <cfRule type="containsErrors" dxfId="43" priority="12">
      <formula>ISERROR(X9)</formula>
    </cfRule>
  </conditionalFormatting>
  <conditionalFormatting sqref="J28:P28">
    <cfRule type="expression" dxfId="42" priority="15">
      <formula>AND(SEC_ISSC_ISVALID="FALSE",SEC_ISSC_REASON="")</formula>
    </cfRule>
  </conditionalFormatting>
  <conditionalFormatting sqref="J21:L21">
    <cfRule type="expression" dxfId="41" priority="11">
      <formula>AND(SEC_ISSC_ISVALID="TRUE")</formula>
    </cfRule>
  </conditionalFormatting>
  <conditionalFormatting sqref="C35 D35 F35 H35 J35 N35">
    <cfRule type="expression" dxfId="40" priority="10">
      <formula xml:space="preserve"> OR( NOT(SUMPRODUCT(--($C$36:$K$45&lt;&gt;""))=0), NOT(SUMPRODUCT(--(SEC_LAST_SECLEVEL&lt;&gt;""))=0), NOT(ISNA(VLOOKUP("Yes",SEC_LAST_MEASURESYORN,1,FALSE))) )</formula>
    </cfRule>
  </conditionalFormatting>
  <conditionalFormatting sqref="S35:U35">
    <cfRule type="expression" dxfId="39" priority="8">
      <formula>NOT(ISNA(VLOOKUP("Yes",SEC_LAST_MEASURESYORN,1,FALSE)))</formula>
    </cfRule>
  </conditionalFormatting>
  <conditionalFormatting sqref="J26:L26">
    <cfRule type="expression" dxfId="38" priority="7">
      <formula>AND(SEC_ISSC_ISVALID="TRUE")</formula>
    </cfRule>
  </conditionalFormatting>
  <conditionalFormatting sqref="Q50:U59">
    <cfRule type="expression" dxfId="37" priority="6">
      <formula>N50="Yes"</formula>
    </cfRule>
  </conditionalFormatting>
  <conditionalFormatting sqref="C48:D49 E48:J48 K48:M49">
    <cfRule type="expression" dxfId="36" priority="5">
      <formula xml:space="preserve"> OR( NOT(SUMPRODUCT(--($C$50:$M$59&lt;&gt;""))=0), NOT(ISNA(VLOOKUP("Yes",SEC_SHIP_MEASURESYORN,1,FALSE))) )</formula>
    </cfRule>
  </conditionalFormatting>
  <conditionalFormatting sqref="Q48:U49">
    <cfRule type="expression" dxfId="35" priority="4">
      <formula>NOT(ISNA(VLOOKUP("Yes",SEC_SHIP_MEASURESYORN,1,FALSE)))</formula>
    </cfRule>
  </conditionalFormatting>
  <conditionalFormatting sqref="M2:N2">
    <cfRule type="expression" dxfId="34" priority="1">
      <formula>SEC_STATUS="Empty"</formula>
    </cfRule>
  </conditionalFormatting>
  <dataValidations xWindow="528" yWindow="835" count="62">
    <dataValidation type="list" allowBlank="1" showInputMessage="1" showErrorMessage="1" promptTitle="FAL 5 " prompt="Select 'Yes' or 'No' from the dropdown menu." sqref="U14">
      <formula1>REF_YES_NO</formula1>
    </dataValidation>
    <dataValidation type="list" allowBlank="1" showInputMessage="1" showErrorMessage="1" error="Select from dropdown_x000a_" promptTitle="Approved security plan?" prompt="Does the ship has an approved security plan on board?_x000a__x000a_Choose from dropdown menu" sqref="U9">
      <formula1>REF_YES_NO</formula1>
    </dataValidation>
    <dataValidation errorStyle="warning" operator="greaterThan" allowBlank="1" errorTitle="Warning" error="Invalid date format" promptTitle="Date format" prompt="dd/mm/yyyy" sqref="B36:B45 B50:B59"/>
    <dataValidation allowBlank="1" showInputMessage="1" showErrorMessage="1" prompt="X2/9.2.1.3_x000a_" sqref="B34"/>
    <dataValidation allowBlank="1" showInputMessage="1" showErrorMessage="1" prompt="(XI-2/9.2.1.5)_x000a__x000a_" sqref="B47"/>
    <dataValidation type="list" allowBlank="1" showInputMessage="1" showErrorMessage="1" errorTitle="Error" promptTitle="FAL 6" prompt="Select 'Yes' or 'No' from the dropdown menu." sqref="U13">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Must be in dd/mm/yyyy format_x000a_" sqref="D50:D59">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Must be in dd/mm/yyyy format" sqref="C36:C45">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U8">
      <formula1>REF_SECURITYLEVELS_OPTIONS</formula1>
    </dataValidation>
    <dataValidation allowBlank="1" showInputMessage="1" sqref="E16:G16"/>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U6">
      <formula1>3</formula1>
      <formula2>32</formula2>
    </dataValidation>
    <dataValidation allowBlank="1" prompt="Security related matter to report, if any. Max. 255 characters." sqref="R21:R22"/>
    <dataValidation type="list" allowBlank="1" showInputMessage="1" showErrorMessage="1" error="Select from dropdown" promptTitle="Related security matter?" prompt="Does the vessel have a related security matter to report?_x000a__x000a_Choose from dropdown menu_x000a_" sqref="U21">
      <formula1>"No, Yes"</formula1>
    </dataValidation>
    <dataValidation type="textLength" allowBlank="1" showInputMessage="1" showErrorMessage="1" errorTitle="Invalid Input" error="Max 50 characters." promptTitle="Last name" prompt="The last name of the CSO_x000a__x000a_Max 50 characters" sqref="M7:P7">
      <formula1>0</formula1>
      <formula2>50</formula2>
    </dataValidation>
    <dataValidation type="date" allowBlank="1" showInputMessage="1" showErrorMessage="1" error="Invalid date. Try inserting the date in the same format as your computer system's date format." promptTitle="Date of departure" prompt="The date of departure from port_x000a__x000a_Must be in dd/mm/yyyy format" sqref="D36:D45">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Must be in dd/mm/yyyy format_x000a_" sqref="C50:C59">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formula1>OR(AND((E50&gt;-54000001),(E50&lt;54000001)), (E50=54600000))</formula1>
    </dataValidation>
    <dataValidation type="textLength" allowBlank="1" showInputMessage="1" showErrorMessage="1" errorTitle="Invalid input" error="Must be 4 digits" promptTitle="IMO Port facility number" prompt="The Port facility number for the port call_x000a__x000a_Must be four digits_x000a__x000a_" sqref="J36:K45">
      <formula1>4</formula1>
      <formula2>4</formula2>
    </dataValidation>
    <dataValidation type="list" allowBlank="1" showInputMessage="1" showErrorMessage="1" promptTitle="Ship-to-ship activity" prompt="The primary ship-to-ship activity undertaken_x000a__x000a_Choose from dropdown menu_x000a__x000a_" sqref="K50:M59">
      <formula1>REF_ACTIVITY</formula1>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M8:P8">
      <formula1>AND(ISNUMBER(SUMPRODUCT(SEARCH(MID(M8,ROW(INDIRECT("1:"&amp;LEN(M8))),1),"0123456789+"))),LEN(M8)&lt;=16)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M10:P10">
      <formula1>IF(OR(ISBLANK(SEC_CSO_EMAIL),AND(NOT(ISERROR(SEARCH("@",SEC_CSO_EMAIL))),ISERROR(SEARCH(" ",SEC_CSO_EMAIL)),LEN(SEC_CSO_EMAIL)&lt;=50)),TRUE(),FALSE())</formula1>
    </dataValidation>
    <dataValidation type="textLength" allowBlank="1" showInputMessage="1" showErrorMessage="1" errorTitle="Invalid Input" error="Max 50 characters." promptTitle="First name" prompt="The first name of the CSO_x000a__x000a_Max 50 characters" sqref="M6:P6">
      <formula1>0</formula1>
      <formula2>49</formula2>
    </dataValidation>
    <dataValidation type="textLength" operator="equal" allowBlank="1" showDropDown="1" showInputMessage="1" showErrorMessage="1" error="Invalid LOCODE, must be 5 characters." promptTitle="Port LOCODE" prompt="The LOCODE of the port at which the vessel called_x000a__x000a_Can be any valid LOCODE, not just function 1/7_x000a__x000a_Must be valid LOCODE" sqref="H36:I45">
      <formula1>5</formula1>
    </dataValidation>
    <dataValidation type="whole" allowBlank="1" showInputMessage="1" showErrorMessage="1" error="Must be whole number, less than 1000000" promptTitle="Gross tonnage" prompt="The measure of the overall size of a ship_x000a__x000a_Must be whole number, less than 1000000" sqref="E13:H13">
      <formula1>0</formula1>
      <formula2>999999</formula2>
    </dataValidation>
    <dataValidation type="list" allowBlank="1" showInputMessage="1" showErrorMessage="1" error="Select from dropdown" promptTitle="Ship type" prompt="The ship type_x000a__x000a_Choose from dropdown menu_x000a_" sqref="E14:H14">
      <formula1>Ship_types</formula1>
    </dataValidation>
    <dataValidation type="textLength" allowBlank="1" showInputMessage="1" showErrorMessage="1" error="Max 35 characters." promptTitle="Certificate number" prompt="Number of the certification of registry_x000a__x000a_Max 35 characters" sqref="E22:H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H23">
      <formula1>0</formula1>
      <formula2>70</formula2>
    </dataValidation>
    <dataValidation type="custom" allowBlank="1" showInputMessage="1" showErrorMessage="1" error="Maximum 7 characters" promptTitle="Company IMO number" prompt="The IMO number of the operating company _x000a__x000a_Must be 7 characters" sqref="E24:H24">
      <formula1>IF(ISBLANK(E24), TRUE(),IFERROR(IF(AND(LEN(TRIM(E24))=7,EXACT(MOD(RIGHT(LEFT(E24,1),1)*7+RIGHT(LEFT(E24,2),1)*6+RIGHT(LEFT(E24,3),1)*5+RIGHT(LEFT(E24,4),1)*4+RIGHT(LEFT(E24,5),1)*3+RIGHT(LEFT(E24,6),1)*2,10),RIGHT(LEFT(E24,7)))),TRUE(),FALSE()),FALSE()))</formula1>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M15:P15">
      <formula1>AND(ISNUMBER(SUMPRODUCT(SEARCH(MID(M15,ROW(INDIRECT("1:"&amp;LEN(M15))),1),"0123456789+"))),LEN(M15)&lt;=16)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M14:P14">
      <formula1>AND(ISNUMBER(SUMPRODUCT(SEARCH(MID(M14,ROW(INDIRECT("1:"&amp;LEN(M14))),1),"0123456789+"))),LEN(M14)&lt;=16)</formula1>
    </dataValidation>
    <dataValidation type="custom" allowBlank="1" showInputMessage="1" showErrorMessage="1" error="Must contain an &quot;@&quot;, can not contain spaces and must be less than 50 characters." promptTitle="Email" prompt="The email of the ship's agent_x000a__x000a_Must contain an &quot;@&quot;, can not contain spaces and must be less than 50 characters" sqref="M16:P16">
      <formula1>IF(OR(ISBLANK(SEC_AGENT_EMAIL),AND(NOT(ISERROR(SEARCH("@",SEC_AGENT_EMAIL))),ISERROR(SEARCH(" ",SEC_AGENT_EMAIL)),LEN(SEC_AGENT_EMAIL)&lt;=50)),TRUE(),FALSE())</formula1>
    </dataValidation>
    <dataValidation type="textLength" allowBlank="1" showInputMessage="1" showErrorMessage="1" error="Max 50 characters." promptTitle="Name" prompt="The name of the ship's agent_x000a__x000a_Max 50 characters" sqref="M13:P13">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M21:P21">
      <formula1>ISSC_types</formula1>
    </dataValidation>
    <dataValidation type="textLength" allowBlank="1" showInputMessage="1" showErrorMessage="1" error="Max 35 characters." promptTitle="ISSC number" prompt="The vessels ISSC number_x000a__x000a_Max 35 characters" sqref="M22:P22">
      <formula1>0</formula1>
      <formula2>35</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M23:P23">
      <formula1>REF_ISSUER_TYPE</formula1>
    </dataValidation>
    <dataValidation type="textLength" allowBlank="1" showInputMessage="1" showErrorMessage="1" error="Max. 255 characters." promptTitle="Issuer" prompt="Name of the ISSC issuing body_x000a__x000a_Max 255 characters" sqref="M24:P25">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M27:P27">
      <formula1>"TRUE, FALSE"</formula1>
    </dataValidation>
    <dataValidation type="textLength" allowBlank="1" showInputMessage="1" showErrorMessage="1" error="Max 50 characters." promptTitle="Country" prompt="The country in which the port call took place_x000a__x000a_Max 50 characters" sqref="E36:E45">
      <formula1>0</formula1>
      <formula2>50</formula2>
    </dataValidation>
    <dataValidation type="textLength" allowBlank="1" showInputMessage="1" showErrorMessage="1" error="Max 50 characters." promptTitle="Port Facility" prompt="The name of the port facility the vessel used during the port call_x000a__x000a_Max 50 characters" sqref="F36:G45">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N36:O45">
      <formula1>REF_SECURITYLEVELS_OPTIONS</formula1>
    </dataValidation>
    <dataValidation type="textLength" allowBlank="1" showInputMessage="1" showErrorMessage="1" error="Max. 255 characters. " prompt="Special or additional security measures taken by the ship  (XI-2/9.2.1.4)_x000a__x000a_Max. 255 characters" sqref="S36:U45">
      <formula1>0</formula1>
      <formula2>255</formula2>
    </dataValidation>
    <dataValidation type="textLength" allowBlank="1" showInputMessage="1" showErrorMessage="1" error="Max 255 characters" promptTitle="Location name" prompt="At least one location element (Latitude/Longitude, Location name) must be provided._x000a__x000a_Max 255 characters." sqref="G50:J59">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Q50:Q59 R51:U59">
      <formula1>1</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H32">
      <formula1>0</formula1>
      <formula2>255</formula2>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J29:P32">
      <formula1>LEN(INDEX(SEC_ISSC_REASON,1,1)&lt;256)</formula1>
    </dataValidation>
    <dataValidation type="textLength" allowBlank="1" showInputMessage="1" showErrorMessage="1" error="Max 255 characters." promptTitle="Purpose of call" prompt="The primary purpose of the port call_x000a__x000a_Max 255 characters" sqref="R29:U32">
      <formula1>0</formula1>
      <formula2>255</formula2>
    </dataValidation>
    <dataValidation type="custom" showInputMessage="1" errorTitle="Error" error="IMO must be a 7 digit number" promptTitle="IMO number" prompt="IMO number of the vessel_x000a__x000a_Valid 7 digit number in correct IMO format" sqref="E6:H6">
      <formula1>IF(ISBLANK(E6), TRUE(),IFERROR(IF(AND(LEN(TRIM(E6))=7,EXACT(MOD(RIGHT(LEFT(E6,1),1)*7+RIGHT(LEFT(E6,2),1)*6+RIGHT(LEFT(E6,3),1)*5+RIGHT(LEFT(E6,4),1)*4+RIGHT(LEFT(E6,5),1)*3+RIGHT(LEFT(E6,6),1)*2,10),RIGHT(LEFT(E6,7)))),TRUE(),FALSE()),FALSE()))</formula1>
    </dataValidation>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E7:H7">
      <formula1>0</formula1>
      <formula2>35</formula2>
    </dataValidation>
    <dataValidation type="textLength" allowBlank="1" showInputMessage="1" showErrorMessage="1" promptTitle="Call sign" prompt="Call sign of the vessel_x000a__x000a_Max 7 characters" sqref="E8:H8">
      <formula1>0</formula1>
      <formula2>7</formula2>
    </dataValidation>
    <dataValidation type="whole" allowBlank="1" showInputMessage="1" showErrorMessage="1" promptTitle="MMSI number" prompt="MMSI number of the vessel_x000a__x000a_Must be a 9 digit number" sqref="E9:H9">
      <formula1>100000000</formula1>
      <formula2>999999999</formula2>
    </dataValidation>
    <dataValidation type="list" allowBlank="1" showInputMessage="1" showErrorMessage="1" promptTitle="Flag state" prompt="Flag state of the vessel_x000a__x000a_Choose from dropdown menu" sqref="E10:H1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Must be in dd/mm/yyyy format" sqref="E21:H21">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Must be in dd/mm/yyyy format" sqref="E28:H28">
      <formula1>1</formula1>
      <formula2>73051</formula2>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M9:P9">
      <formula1>AND(ISNUMBER(SUMPRODUCT(SEARCH(MID(M9,ROW(INDIRECT("1:"&amp;LEN(M9))),1),"0123456789+"))),LEN(M9)&lt;=16)</formula1>
    </dataValidation>
    <dataValidation type="date" allowBlank="1" showInputMessage="1" showErrorMessage="1" error="Invalid date. Try inserting the date in the same format as your computer system's date format." promptTitle="Expiry" prompt="Date of ISSC expiry_x000a__x000a_Must be in dd/mm/yyyy format" sqref="M26:P26">
      <formula1>1</formula1>
      <formula2>73051</formula2>
    </dataValidation>
    <dataValidation allowBlank="1" showInputMessage="1" showErrorMessage="1" error="Max 255 characters." promptTitle="Brief cargo description" prompt="Brief description of the vessel's cargo_x000a__x000a_Max 255 characters" sqref="R16:U18"/>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R23:U25">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P36:R45">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formula1>OR(AND((F50&gt;-108000001),(F50&lt;108000001)), (F50=108600000))</formula1>
    </dataValidation>
    <dataValidation type="list" allowBlank="1" showInputMessage="1" showErrorMessage="1" promptTitle="Security measures applied" prompt="Were security measures applied in lieu of the SSP?_x000a__x000a_Choose from dropdown menu" sqref="N50:P59">
      <formula1>"Yes, None"</formula1>
    </dataValidation>
    <dataValidation type="textLength" operator="equal" allowBlank="1" showDropDown="1" showInputMessage="1" showErrorMessage="1" error="Invalid LOCODE, must be 5 characters." promptTitle="LOCODE" prompt="Must be 5 characters." sqref="E18:H18">
      <formula1>5</formula1>
    </dataValidation>
    <dataValidation type="textLength" allowBlank="1" showInputMessage="1" showErrorMessage="1" sqref="R19">
      <formula1>0</formula1>
      <formula2>255</formula2>
    </dataValidation>
  </dataValidations>
  <pageMargins left="0.23622047244094488" right="0.23622047244094488" top="0.39370078740157483" bottom="0.39370078740157483" header="0.31496062992125984" footer="0.31496062992125984"/>
  <pageSetup paperSize="9" scale="60"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3"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2" id="{0063D44E-908F-4C4D-A20C-88DC75DE386A}">
            <xm:f>Validator!A23&lt;&gt;TRUE</xm:f>
            <x14:dxf>
              <fill>
                <patternFill>
                  <bgColor rgb="FFFF0000"/>
                </patternFill>
              </fill>
            </x14:dxf>
          </x14:cfRule>
          <xm:sqref>B50:B59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3.2"/>
  <cols>
    <col min="1" max="1" width="2.44140625" customWidth="1"/>
    <col min="2" max="10" width="24.33203125" customWidth="1"/>
  </cols>
  <sheetData>
    <row r="1" spans="1:10" s="400" customFormat="1" ht="4.5" customHeight="1"/>
    <row r="2" spans="1:10" s="157" customFormat="1" ht="21">
      <c r="A2" s="154"/>
      <c r="B2" s="155" t="s">
        <v>710</v>
      </c>
      <c r="C2" s="156"/>
      <c r="D2" s="156"/>
      <c r="E2" s="156"/>
      <c r="F2" s="156"/>
      <c r="G2" s="156"/>
      <c r="H2" s="156"/>
      <c r="I2" s="156"/>
      <c r="J2" s="156"/>
    </row>
    <row r="3" spans="1:10" s="157" customFormat="1" ht="4.5" customHeight="1">
      <c r="A3" s="154"/>
      <c r="B3" s="155"/>
      <c r="C3" s="156"/>
      <c r="D3" s="156"/>
      <c r="E3" s="156"/>
      <c r="F3" s="156"/>
      <c r="G3" s="156"/>
      <c r="H3" s="156"/>
      <c r="I3" s="156"/>
      <c r="J3" s="156"/>
    </row>
    <row r="4" spans="1:10" s="418" customFormat="1" ht="12.75" customHeight="1">
      <c r="A4" s="410"/>
      <c r="B4" s="417"/>
      <c r="C4" s="413"/>
      <c r="D4" s="413"/>
      <c r="E4" s="413"/>
      <c r="F4" s="413"/>
      <c r="G4" s="413"/>
      <c r="H4" s="413"/>
      <c r="I4" s="413"/>
      <c r="J4" s="413"/>
    </row>
    <row r="5" spans="1:10" ht="13.5" customHeight="1" thickBot="1">
      <c r="B5" s="191" t="s">
        <v>1858</v>
      </c>
      <c r="C5" s="190"/>
      <c r="D5" s="190"/>
      <c r="E5" s="190"/>
      <c r="F5" s="190"/>
      <c r="G5" s="190"/>
      <c r="H5" s="190"/>
      <c r="I5" s="190"/>
    </row>
    <row r="6" spans="1:10" ht="14.25" customHeight="1" thickTop="1">
      <c r="B6" s="984"/>
      <c r="C6" s="985"/>
      <c r="D6" s="985"/>
      <c r="E6" s="985"/>
      <c r="F6" s="985"/>
      <c r="G6" s="985"/>
      <c r="H6" s="985"/>
      <c r="I6" s="986"/>
    </row>
    <row r="7" spans="1:10" ht="14.25" customHeight="1">
      <c r="B7" s="987"/>
      <c r="C7" s="988"/>
      <c r="D7" s="988"/>
      <c r="E7" s="988"/>
      <c r="F7" s="988"/>
      <c r="G7" s="988"/>
      <c r="H7" s="988"/>
      <c r="I7" s="989"/>
    </row>
    <row r="8" spans="1:10" ht="14.25" customHeight="1">
      <c r="B8" s="987"/>
      <c r="C8" s="988"/>
      <c r="D8" s="988"/>
      <c r="E8" s="988"/>
      <c r="F8" s="988"/>
      <c r="G8" s="988"/>
      <c r="H8" s="988"/>
      <c r="I8" s="989"/>
    </row>
    <row r="9" spans="1:10" ht="14.25" customHeight="1">
      <c r="B9" s="987"/>
      <c r="C9" s="988"/>
      <c r="D9" s="988"/>
      <c r="E9" s="988"/>
      <c r="F9" s="988"/>
      <c r="G9" s="988"/>
      <c r="H9" s="988"/>
      <c r="I9" s="989"/>
    </row>
    <row r="10" spans="1:10" ht="14.25" customHeight="1">
      <c r="B10" s="987"/>
      <c r="C10" s="988"/>
      <c r="D10" s="988"/>
      <c r="E10" s="988"/>
      <c r="F10" s="988"/>
      <c r="G10" s="988"/>
      <c r="H10" s="988"/>
      <c r="I10" s="989"/>
    </row>
    <row r="11" spans="1:10" ht="14.25" customHeight="1">
      <c r="B11" s="987"/>
      <c r="C11" s="988"/>
      <c r="D11" s="988"/>
      <c r="E11" s="988"/>
      <c r="F11" s="988"/>
      <c r="G11" s="988"/>
      <c r="H11" s="988"/>
      <c r="I11" s="989"/>
    </row>
    <row r="12" spans="1:10" ht="14.25" customHeight="1">
      <c r="B12" s="987"/>
      <c r="C12" s="988"/>
      <c r="D12" s="988"/>
      <c r="E12" s="988"/>
      <c r="F12" s="988"/>
      <c r="G12" s="988"/>
      <c r="H12" s="988"/>
      <c r="I12" s="989"/>
    </row>
    <row r="13" spans="1:10" ht="14.25" customHeight="1">
      <c r="B13" s="987"/>
      <c r="C13" s="988"/>
      <c r="D13" s="988"/>
      <c r="E13" s="988"/>
      <c r="F13" s="988"/>
      <c r="G13" s="988"/>
      <c r="H13" s="988"/>
      <c r="I13" s="989"/>
    </row>
    <row r="14" spans="1:10" ht="14.25" customHeight="1">
      <c r="B14" s="987"/>
      <c r="C14" s="988"/>
      <c r="D14" s="988"/>
      <c r="E14" s="988"/>
      <c r="F14" s="988"/>
      <c r="G14" s="988"/>
      <c r="H14" s="988"/>
      <c r="I14" s="989"/>
    </row>
    <row r="15" spans="1:10" ht="14.25" customHeight="1">
      <c r="B15" s="987"/>
      <c r="C15" s="988"/>
      <c r="D15" s="988"/>
      <c r="E15" s="988"/>
      <c r="F15" s="988"/>
      <c r="G15" s="988"/>
      <c r="H15" s="988"/>
      <c r="I15" s="989"/>
    </row>
    <row r="16" spans="1:10" ht="14.25" customHeight="1">
      <c r="B16" s="987"/>
      <c r="C16" s="988"/>
      <c r="D16" s="988"/>
      <c r="E16" s="988"/>
      <c r="F16" s="988"/>
      <c r="G16" s="988"/>
      <c r="H16" s="988"/>
      <c r="I16" s="989"/>
    </row>
    <row r="17" spans="2:9" ht="14.25" customHeight="1">
      <c r="B17" s="987"/>
      <c r="C17" s="988"/>
      <c r="D17" s="988"/>
      <c r="E17" s="988"/>
      <c r="F17" s="988"/>
      <c r="G17" s="988"/>
      <c r="H17" s="988"/>
      <c r="I17" s="989"/>
    </row>
    <row r="18" spans="2:9" ht="14.25" customHeight="1">
      <c r="B18" s="987"/>
      <c r="C18" s="988"/>
      <c r="D18" s="988"/>
      <c r="E18" s="988"/>
      <c r="F18" s="988"/>
      <c r="G18" s="988"/>
      <c r="H18" s="988"/>
      <c r="I18" s="989"/>
    </row>
    <row r="19" spans="2:9" ht="14.25" customHeight="1">
      <c r="B19" s="987"/>
      <c r="C19" s="988"/>
      <c r="D19" s="988"/>
      <c r="E19" s="988"/>
      <c r="F19" s="988"/>
      <c r="G19" s="988"/>
      <c r="H19" s="988"/>
      <c r="I19" s="989"/>
    </row>
    <row r="20" spans="2:9" ht="14.25" customHeight="1">
      <c r="B20" s="987"/>
      <c r="C20" s="988"/>
      <c r="D20" s="988"/>
      <c r="E20" s="988"/>
      <c r="F20" s="988"/>
      <c r="G20" s="988"/>
      <c r="H20" s="988"/>
      <c r="I20" s="989"/>
    </row>
    <row r="21" spans="2:9" ht="14.25" customHeight="1">
      <c r="B21" s="987"/>
      <c r="C21" s="988"/>
      <c r="D21" s="988"/>
      <c r="E21" s="988"/>
      <c r="F21" s="988"/>
      <c r="G21" s="988"/>
      <c r="H21" s="988"/>
      <c r="I21" s="989"/>
    </row>
    <row r="22" spans="2:9" ht="14.25" customHeight="1">
      <c r="B22" s="987"/>
      <c r="C22" s="988"/>
      <c r="D22" s="988"/>
      <c r="E22" s="988"/>
      <c r="F22" s="988"/>
      <c r="G22" s="988"/>
      <c r="H22" s="988"/>
      <c r="I22" s="989"/>
    </row>
    <row r="23" spans="2:9" ht="14.25" customHeight="1">
      <c r="B23" s="987"/>
      <c r="C23" s="988"/>
      <c r="D23" s="988"/>
      <c r="E23" s="988"/>
      <c r="F23" s="988"/>
      <c r="G23" s="988"/>
      <c r="H23" s="988"/>
      <c r="I23" s="989"/>
    </row>
    <row r="24" spans="2:9" ht="14.25" customHeight="1">
      <c r="B24" s="987"/>
      <c r="C24" s="988"/>
      <c r="D24" s="988"/>
      <c r="E24" s="988"/>
      <c r="F24" s="988"/>
      <c r="G24" s="988"/>
      <c r="H24" s="988"/>
      <c r="I24" s="989"/>
    </row>
    <row r="25" spans="2:9" ht="14.25" customHeight="1">
      <c r="B25" s="987"/>
      <c r="C25" s="988"/>
      <c r="D25" s="988"/>
      <c r="E25" s="988"/>
      <c r="F25" s="988"/>
      <c r="G25" s="988"/>
      <c r="H25" s="988"/>
      <c r="I25" s="989"/>
    </row>
    <row r="26" spans="2:9" ht="14.25" customHeight="1">
      <c r="B26" s="987"/>
      <c r="C26" s="988"/>
      <c r="D26" s="988"/>
      <c r="E26" s="988"/>
      <c r="F26" s="988"/>
      <c r="G26" s="988"/>
      <c r="H26" s="988"/>
      <c r="I26" s="989"/>
    </row>
    <row r="27" spans="2:9" ht="14.25" customHeight="1">
      <c r="B27" s="987"/>
      <c r="C27" s="988"/>
      <c r="D27" s="988"/>
      <c r="E27" s="988"/>
      <c r="F27" s="988"/>
      <c r="G27" s="988"/>
      <c r="H27" s="988"/>
      <c r="I27" s="989"/>
    </row>
    <row r="28" spans="2:9" ht="14.25" customHeight="1">
      <c r="B28" s="987"/>
      <c r="C28" s="988"/>
      <c r="D28" s="988"/>
      <c r="E28" s="988"/>
      <c r="F28" s="988"/>
      <c r="G28" s="988"/>
      <c r="H28" s="988"/>
      <c r="I28" s="989"/>
    </row>
    <row r="29" spans="2:9" ht="14.25" customHeight="1">
      <c r="B29" s="987"/>
      <c r="C29" s="988"/>
      <c r="D29" s="988"/>
      <c r="E29" s="988"/>
      <c r="F29" s="988"/>
      <c r="G29" s="988"/>
      <c r="H29" s="988"/>
      <c r="I29" s="989"/>
    </row>
    <row r="30" spans="2:9" ht="14.25" customHeight="1">
      <c r="B30" s="987"/>
      <c r="C30" s="988"/>
      <c r="D30" s="988"/>
      <c r="E30" s="988"/>
      <c r="F30" s="988"/>
      <c r="G30" s="988"/>
      <c r="H30" s="988"/>
      <c r="I30" s="989"/>
    </row>
    <row r="31" spans="2:9" ht="14.25" customHeight="1">
      <c r="B31" s="987"/>
      <c r="C31" s="988"/>
      <c r="D31" s="988"/>
      <c r="E31" s="988"/>
      <c r="F31" s="988"/>
      <c r="G31" s="988"/>
      <c r="H31" s="988"/>
      <c r="I31" s="989"/>
    </row>
    <row r="32" spans="2:9" ht="14.25" customHeight="1">
      <c r="B32" s="987"/>
      <c r="C32" s="988"/>
      <c r="D32" s="988"/>
      <c r="E32" s="988"/>
      <c r="F32" s="988"/>
      <c r="G32" s="988"/>
      <c r="H32" s="988"/>
      <c r="I32" s="989"/>
    </row>
    <row r="33" spans="2:9" ht="14.25" customHeight="1">
      <c r="B33" s="987"/>
      <c r="C33" s="988"/>
      <c r="D33" s="988"/>
      <c r="E33" s="988"/>
      <c r="F33" s="988"/>
      <c r="G33" s="988"/>
      <c r="H33" s="988"/>
      <c r="I33" s="989"/>
    </row>
    <row r="34" spans="2:9" ht="14.25" customHeight="1">
      <c r="B34" s="987"/>
      <c r="C34" s="988"/>
      <c r="D34" s="988"/>
      <c r="E34" s="988"/>
      <c r="F34" s="988"/>
      <c r="G34" s="988"/>
      <c r="H34" s="988"/>
      <c r="I34" s="989"/>
    </row>
    <row r="35" spans="2:9" ht="14.25" customHeight="1">
      <c r="B35" s="987"/>
      <c r="C35" s="988"/>
      <c r="D35" s="988"/>
      <c r="E35" s="988"/>
      <c r="F35" s="988"/>
      <c r="G35" s="988"/>
      <c r="H35" s="988"/>
      <c r="I35" s="989"/>
    </row>
    <row r="36" spans="2:9" ht="14.25" customHeight="1">
      <c r="B36" s="987"/>
      <c r="C36" s="988"/>
      <c r="D36" s="988"/>
      <c r="E36" s="988"/>
      <c r="F36" s="988"/>
      <c r="G36" s="988"/>
      <c r="H36" s="988"/>
      <c r="I36" s="989"/>
    </row>
    <row r="37" spans="2:9" ht="13.5" customHeight="1" thickBot="1">
      <c r="B37" s="990"/>
      <c r="C37" s="991"/>
      <c r="D37" s="991"/>
      <c r="E37" s="991"/>
      <c r="F37" s="991"/>
      <c r="G37" s="991"/>
      <c r="H37" s="991"/>
      <c r="I37" s="992"/>
    </row>
    <row r="38" spans="2:9" ht="13.8" thickTop="1"/>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R48"/>
  <sheetViews>
    <sheetView zoomScale="85" zoomScaleNormal="85" workbookViewId="0">
      <pane ySplit="3" topLeftCell="A4" activePane="bottomLeft" state="frozen"/>
      <selection pane="bottomLeft" activeCell="B2" sqref="B2"/>
    </sheetView>
  </sheetViews>
  <sheetFormatPr defaultColWidth="9.109375" defaultRowHeight="13.2"/>
  <cols>
    <col min="1" max="1" width="2.44140625" style="126" customWidth="1"/>
    <col min="2" max="2" width="21" style="126" bestFit="1" customWidth="1"/>
    <col min="3" max="3" width="16" style="126" customWidth="1"/>
    <col min="4" max="4" width="17.6640625" style="126" customWidth="1"/>
    <col min="5" max="5" width="9.5546875" style="126" customWidth="1"/>
    <col min="6" max="6" width="17" style="126" customWidth="1"/>
    <col min="7" max="7" width="19.5546875" style="129" bestFit="1" customWidth="1"/>
    <col min="8" max="8" width="20.33203125" style="129" bestFit="1" customWidth="1"/>
    <col min="9" max="9" width="5.109375" style="129" bestFit="1" customWidth="1"/>
    <col min="10" max="10" width="5.44140625" style="129" bestFit="1" customWidth="1"/>
    <col min="11" max="12" width="10.33203125" style="129" customWidth="1"/>
    <col min="13" max="13" width="5.33203125" style="129" bestFit="1" customWidth="1"/>
    <col min="14" max="14" width="16.109375" style="129" bestFit="1" customWidth="1"/>
    <col min="15" max="15" width="20" style="129" bestFit="1" customWidth="1"/>
    <col min="16" max="16" width="28" style="129" bestFit="1" customWidth="1"/>
    <col min="17" max="17" width="12" style="129" bestFit="1" customWidth="1"/>
    <col min="18" max="16384" width="9.109375" style="126"/>
  </cols>
  <sheetData>
    <row r="1" spans="1:18" s="158" customFormat="1" ht="4.5" customHeight="1">
      <c r="G1" s="409"/>
      <c r="H1" s="409"/>
      <c r="I1" s="409"/>
      <c r="J1" s="409"/>
      <c r="K1" s="409"/>
      <c r="L1" s="409"/>
      <c r="M1" s="409"/>
      <c r="N1" s="409"/>
      <c r="O1" s="409"/>
      <c r="P1" s="409"/>
      <c r="Q1" s="409"/>
    </row>
    <row r="2" spans="1:18" s="158" customFormat="1" ht="21">
      <c r="A2" s="154"/>
      <c r="B2" s="155" t="s">
        <v>1880</v>
      </c>
      <c r="C2" s="156"/>
      <c r="D2" s="156"/>
      <c r="E2" s="156"/>
      <c r="F2" s="156"/>
      <c r="G2" s="156"/>
      <c r="H2" s="156"/>
      <c r="I2" s="156"/>
      <c r="J2" s="156"/>
      <c r="K2" s="156"/>
      <c r="L2" s="156"/>
      <c r="M2" s="156"/>
      <c r="N2" s="156"/>
      <c r="O2" s="156"/>
      <c r="P2" s="156"/>
      <c r="Q2" s="156"/>
      <c r="R2" s="156"/>
    </row>
    <row r="3" spans="1:18" s="158" customFormat="1" ht="4.5" customHeight="1">
      <c r="A3" s="154"/>
      <c r="B3" s="155"/>
      <c r="C3" s="156"/>
      <c r="D3" s="156"/>
      <c r="E3" s="156"/>
      <c r="F3" s="156"/>
      <c r="G3" s="156"/>
      <c r="H3" s="156"/>
      <c r="I3" s="156"/>
      <c r="J3" s="156"/>
      <c r="K3" s="156"/>
      <c r="L3" s="156"/>
      <c r="M3" s="156"/>
      <c r="N3" s="156"/>
      <c r="O3" s="156"/>
      <c r="P3" s="156"/>
      <c r="Q3" s="156"/>
      <c r="R3" s="156"/>
    </row>
    <row r="4" spans="1:18" s="414" customFormat="1" ht="12.75" customHeight="1" thickBot="1">
      <c r="A4" s="410"/>
      <c r="B4" s="411"/>
      <c r="C4" s="412"/>
      <c r="D4" s="412"/>
      <c r="E4" s="412"/>
      <c r="F4" s="412"/>
      <c r="G4" s="412"/>
      <c r="H4" s="412"/>
      <c r="I4" s="412"/>
      <c r="J4" s="412"/>
      <c r="K4" s="412"/>
      <c r="L4" s="412"/>
      <c r="M4" s="412"/>
      <c r="N4" s="412"/>
      <c r="O4" s="412"/>
      <c r="P4" s="412"/>
      <c r="Q4" s="412"/>
      <c r="R4" s="413"/>
    </row>
    <row r="5" spans="1:18" ht="14.25" customHeight="1" thickTop="1" thickBot="1">
      <c r="B5" s="647" t="s">
        <v>1818</v>
      </c>
      <c r="C5" s="647"/>
      <c r="D5" s="647"/>
      <c r="E5" s="647"/>
      <c r="F5" s="647"/>
      <c r="G5" s="647" t="s">
        <v>1854</v>
      </c>
      <c r="H5" s="647"/>
      <c r="I5" s="647"/>
      <c r="J5" s="647"/>
      <c r="K5" s="647"/>
      <c r="L5" s="647"/>
      <c r="M5" s="647"/>
      <c r="N5" s="647"/>
      <c r="O5" s="647"/>
      <c r="P5" s="647"/>
      <c r="Q5" s="647"/>
    </row>
    <row r="6" spans="1:18" ht="14.25" customHeight="1" thickTop="1" thickBot="1">
      <c r="B6" s="647"/>
      <c r="C6" s="647"/>
      <c r="D6" s="647"/>
      <c r="E6" s="647"/>
      <c r="F6" s="647"/>
      <c r="G6" s="647"/>
      <c r="H6" s="647"/>
      <c r="I6" s="647"/>
      <c r="J6" s="647"/>
      <c r="K6" s="647"/>
      <c r="L6" s="647"/>
      <c r="M6" s="647"/>
      <c r="N6" s="647"/>
      <c r="O6" s="647"/>
      <c r="P6" s="647"/>
      <c r="Q6" s="647"/>
    </row>
    <row r="7" spans="1:18" ht="14.25" customHeight="1" thickTop="1">
      <c r="B7" s="123"/>
      <c r="C7" s="130"/>
      <c r="D7" s="130"/>
      <c r="E7" s="130"/>
      <c r="F7" s="124"/>
      <c r="G7" s="137"/>
      <c r="H7" s="134"/>
      <c r="I7" s="134"/>
      <c r="J7" s="134"/>
      <c r="K7" s="993" t="s">
        <v>1819</v>
      </c>
      <c r="L7" s="994"/>
      <c r="M7" s="134"/>
      <c r="N7" s="134"/>
      <c r="O7" s="134"/>
      <c r="P7" s="136" t="s">
        <v>1820</v>
      </c>
      <c r="Q7" s="135"/>
    </row>
    <row r="8" spans="1:18" ht="14.25" customHeight="1">
      <c r="B8" s="132" t="s">
        <v>1821</v>
      </c>
      <c r="C8" s="131" t="s">
        <v>1822</v>
      </c>
      <c r="D8" s="131" t="s">
        <v>1823</v>
      </c>
      <c r="E8" s="131" t="s">
        <v>1824</v>
      </c>
      <c r="F8" s="131" t="s">
        <v>1825</v>
      </c>
      <c r="G8" s="133" t="s">
        <v>1826</v>
      </c>
      <c r="H8" s="133" t="s">
        <v>1827</v>
      </c>
      <c r="I8" s="133" t="s">
        <v>1828</v>
      </c>
      <c r="J8" s="133" t="s">
        <v>1829</v>
      </c>
      <c r="K8" s="138" t="s">
        <v>1830</v>
      </c>
      <c r="L8" s="139" t="s">
        <v>1831</v>
      </c>
      <c r="M8" s="133" t="s">
        <v>1832</v>
      </c>
      <c r="N8" s="133" t="s">
        <v>1833</v>
      </c>
      <c r="O8" s="133" t="s">
        <v>1834</v>
      </c>
      <c r="P8" s="140" t="s">
        <v>1835</v>
      </c>
      <c r="Q8" s="133" t="s">
        <v>1836</v>
      </c>
    </row>
    <row r="9" spans="1:18" ht="14.25" customHeight="1">
      <c r="B9" s="125" t="s">
        <v>1837</v>
      </c>
      <c r="C9" s="125" t="s">
        <v>1838</v>
      </c>
      <c r="D9" s="125" t="s">
        <v>1838</v>
      </c>
      <c r="E9" s="125" t="s">
        <v>1839</v>
      </c>
      <c r="F9" s="125" t="s">
        <v>1838</v>
      </c>
      <c r="G9" s="127" t="s">
        <v>86</v>
      </c>
      <c r="H9" s="127" t="s">
        <v>86</v>
      </c>
      <c r="I9" s="127" t="s">
        <v>86</v>
      </c>
      <c r="J9" s="127" t="s">
        <v>86</v>
      </c>
      <c r="K9" s="138" t="s">
        <v>86</v>
      </c>
      <c r="L9" s="139" t="s">
        <v>86</v>
      </c>
      <c r="M9" s="127" t="s">
        <v>86</v>
      </c>
      <c r="N9" s="127" t="s">
        <v>86</v>
      </c>
      <c r="O9" s="127" t="s">
        <v>86</v>
      </c>
      <c r="P9" s="140" t="s">
        <v>86</v>
      </c>
      <c r="Q9" s="127" t="s">
        <v>86</v>
      </c>
    </row>
    <row r="10" spans="1:18" ht="14.25" customHeight="1">
      <c r="B10" s="125" t="s">
        <v>1837</v>
      </c>
      <c r="C10" s="125" t="s">
        <v>1840</v>
      </c>
      <c r="D10" s="125" t="s">
        <v>1841</v>
      </c>
      <c r="E10" s="125" t="s">
        <v>1842</v>
      </c>
      <c r="F10" s="125" t="s">
        <v>86</v>
      </c>
      <c r="G10" s="127" t="s">
        <v>85</v>
      </c>
      <c r="H10" s="127" t="s">
        <v>85</v>
      </c>
      <c r="I10" s="127" t="s">
        <v>85</v>
      </c>
      <c r="J10" s="127" t="s">
        <v>85</v>
      </c>
      <c r="K10" s="138" t="s">
        <v>86</v>
      </c>
      <c r="L10" s="139" t="s">
        <v>86</v>
      </c>
      <c r="M10" s="127" t="s">
        <v>85</v>
      </c>
      <c r="N10" s="127" t="s">
        <v>86</v>
      </c>
      <c r="O10" s="127" t="s">
        <v>86</v>
      </c>
      <c r="P10" s="140" t="s">
        <v>86</v>
      </c>
      <c r="Q10" s="127" t="s">
        <v>86</v>
      </c>
    </row>
    <row r="11" spans="1:18" ht="14.25" customHeight="1">
      <c r="B11" s="125" t="s">
        <v>1837</v>
      </c>
      <c r="C11" s="125" t="s">
        <v>1840</v>
      </c>
      <c r="D11" s="125" t="s">
        <v>1843</v>
      </c>
      <c r="E11" s="125" t="s">
        <v>1842</v>
      </c>
      <c r="F11" s="125" t="s">
        <v>86</v>
      </c>
      <c r="G11" s="127" t="s">
        <v>86</v>
      </c>
      <c r="H11" s="127" t="s">
        <v>86</v>
      </c>
      <c r="I11" s="127" t="s">
        <v>86</v>
      </c>
      <c r="J11" s="127" t="s">
        <v>86</v>
      </c>
      <c r="K11" s="138" t="s">
        <v>86</v>
      </c>
      <c r="L11" s="139" t="s">
        <v>86</v>
      </c>
      <c r="M11" s="127" t="s">
        <v>86</v>
      </c>
      <c r="N11" s="127" t="s">
        <v>86</v>
      </c>
      <c r="O11" s="127" t="s">
        <v>86</v>
      </c>
      <c r="P11" s="140" t="s">
        <v>86</v>
      </c>
      <c r="Q11" s="127" t="s">
        <v>86</v>
      </c>
    </row>
    <row r="12" spans="1:18" ht="14.25" customHeight="1">
      <c r="B12" s="125" t="s">
        <v>1837</v>
      </c>
      <c r="C12" s="125" t="s">
        <v>1844</v>
      </c>
      <c r="D12" s="125" t="s">
        <v>1841</v>
      </c>
      <c r="E12" s="125" t="s">
        <v>1842</v>
      </c>
      <c r="F12" s="125" t="s">
        <v>85</v>
      </c>
      <c r="G12" s="127" t="s">
        <v>85</v>
      </c>
      <c r="H12" s="127" t="s">
        <v>85</v>
      </c>
      <c r="I12" s="127" t="s">
        <v>85</v>
      </c>
      <c r="J12" s="127" t="s">
        <v>85</v>
      </c>
      <c r="K12" s="138" t="s">
        <v>86</v>
      </c>
      <c r="L12" s="139" t="s">
        <v>86</v>
      </c>
      <c r="M12" s="127" t="s">
        <v>85</v>
      </c>
      <c r="N12" s="127" t="s">
        <v>86</v>
      </c>
      <c r="O12" s="127" t="s">
        <v>85</v>
      </c>
      <c r="P12" s="140" t="s">
        <v>86</v>
      </c>
      <c r="Q12" s="127" t="s">
        <v>86</v>
      </c>
    </row>
    <row r="13" spans="1:18" ht="14.25" customHeight="1">
      <c r="B13" s="125" t="s">
        <v>1837</v>
      </c>
      <c r="C13" s="125" t="s">
        <v>1845</v>
      </c>
      <c r="D13" s="125" t="s">
        <v>1841</v>
      </c>
      <c r="E13" s="125" t="s">
        <v>1842</v>
      </c>
      <c r="F13" s="125" t="s">
        <v>85</v>
      </c>
      <c r="G13" s="127" t="s">
        <v>85</v>
      </c>
      <c r="H13" s="127" t="s">
        <v>85</v>
      </c>
      <c r="I13" s="127" t="s">
        <v>85</v>
      </c>
      <c r="J13" s="127" t="s">
        <v>85</v>
      </c>
      <c r="K13" s="138" t="s">
        <v>86</v>
      </c>
      <c r="L13" s="139" t="s">
        <v>86</v>
      </c>
      <c r="M13" s="127" t="s">
        <v>85</v>
      </c>
      <c r="N13" s="127" t="s">
        <v>85</v>
      </c>
      <c r="O13" s="127" t="s">
        <v>86</v>
      </c>
      <c r="P13" s="140" t="s">
        <v>86</v>
      </c>
      <c r="Q13" s="127" t="s">
        <v>86</v>
      </c>
    </row>
    <row r="14" spans="1:18" ht="14.25" customHeight="1">
      <c r="B14" s="125" t="s">
        <v>1846</v>
      </c>
      <c r="C14" s="125" t="s">
        <v>1838</v>
      </c>
      <c r="D14" s="125" t="s">
        <v>1838</v>
      </c>
      <c r="E14" s="125" t="s">
        <v>1839</v>
      </c>
      <c r="F14" s="125" t="s">
        <v>1838</v>
      </c>
      <c r="G14" s="127" t="s">
        <v>86</v>
      </c>
      <c r="H14" s="127" t="s">
        <v>86</v>
      </c>
      <c r="I14" s="127" t="s">
        <v>86</v>
      </c>
      <c r="J14" s="127" t="s">
        <v>86</v>
      </c>
      <c r="K14" s="138" t="s">
        <v>86</v>
      </c>
      <c r="L14" s="139" t="s">
        <v>86</v>
      </c>
      <c r="M14" s="127" t="s">
        <v>86</v>
      </c>
      <c r="N14" s="127" t="s">
        <v>86</v>
      </c>
      <c r="O14" s="127" t="s">
        <v>86</v>
      </c>
      <c r="P14" s="140" t="s">
        <v>86</v>
      </c>
      <c r="Q14" s="127" t="s">
        <v>86</v>
      </c>
    </row>
    <row r="15" spans="1:18" ht="14.25" customHeight="1">
      <c r="B15" s="125" t="s">
        <v>1846</v>
      </c>
      <c r="C15" s="125" t="s">
        <v>1840</v>
      </c>
      <c r="D15" s="125" t="s">
        <v>1841</v>
      </c>
      <c r="E15" s="125" t="s">
        <v>1842</v>
      </c>
      <c r="F15" s="125" t="s">
        <v>86</v>
      </c>
      <c r="G15" s="127" t="s">
        <v>85</v>
      </c>
      <c r="H15" s="127" t="s">
        <v>85</v>
      </c>
      <c r="I15" s="127" t="s">
        <v>85</v>
      </c>
      <c r="J15" s="127" t="s">
        <v>85</v>
      </c>
      <c r="K15" s="138" t="s">
        <v>86</v>
      </c>
      <c r="L15" s="139" t="s">
        <v>86</v>
      </c>
      <c r="M15" s="127" t="s">
        <v>85</v>
      </c>
      <c r="N15" s="127" t="s">
        <v>86</v>
      </c>
      <c r="O15" s="127" t="s">
        <v>86</v>
      </c>
      <c r="P15" s="140" t="s">
        <v>86</v>
      </c>
      <c r="Q15" s="127" t="s">
        <v>86</v>
      </c>
    </row>
    <row r="16" spans="1:18" ht="14.25" customHeight="1">
      <c r="B16" s="125" t="s">
        <v>1846</v>
      </c>
      <c r="C16" s="125" t="s">
        <v>1840</v>
      </c>
      <c r="D16" s="125" t="s">
        <v>1843</v>
      </c>
      <c r="E16" s="125" t="s">
        <v>1842</v>
      </c>
      <c r="F16" s="125" t="s">
        <v>86</v>
      </c>
      <c r="G16" s="127" t="s">
        <v>86</v>
      </c>
      <c r="H16" s="127" t="s">
        <v>86</v>
      </c>
      <c r="I16" s="127" t="s">
        <v>86</v>
      </c>
      <c r="J16" s="127" t="s">
        <v>86</v>
      </c>
      <c r="K16" s="138" t="s">
        <v>86</v>
      </c>
      <c r="L16" s="139" t="s">
        <v>86</v>
      </c>
      <c r="M16" s="127" t="s">
        <v>86</v>
      </c>
      <c r="N16" s="127" t="s">
        <v>86</v>
      </c>
      <c r="O16" s="127" t="s">
        <v>86</v>
      </c>
      <c r="P16" s="140" t="s">
        <v>86</v>
      </c>
      <c r="Q16" s="127" t="s">
        <v>86</v>
      </c>
    </row>
    <row r="17" spans="2:17" ht="14.25" customHeight="1">
      <c r="B17" s="125" t="s">
        <v>1846</v>
      </c>
      <c r="C17" s="125" t="s">
        <v>1844</v>
      </c>
      <c r="D17" s="125" t="s">
        <v>1841</v>
      </c>
      <c r="E17" s="125" t="s">
        <v>1842</v>
      </c>
      <c r="F17" s="125" t="s">
        <v>85</v>
      </c>
      <c r="G17" s="127" t="s">
        <v>85</v>
      </c>
      <c r="H17" s="127" t="s">
        <v>85</v>
      </c>
      <c r="I17" s="127" t="s">
        <v>85</v>
      </c>
      <c r="J17" s="127" t="s">
        <v>85</v>
      </c>
      <c r="K17" s="138" t="s">
        <v>86</v>
      </c>
      <c r="L17" s="139" t="s">
        <v>86</v>
      </c>
      <c r="M17" s="127" t="s">
        <v>85</v>
      </c>
      <c r="N17" s="127" t="s">
        <v>86</v>
      </c>
      <c r="O17" s="127" t="s">
        <v>85</v>
      </c>
      <c r="P17" s="140" t="s">
        <v>86</v>
      </c>
      <c r="Q17" s="127" t="s">
        <v>86</v>
      </c>
    </row>
    <row r="18" spans="2:17" ht="14.25" customHeight="1">
      <c r="B18" s="125" t="s">
        <v>1846</v>
      </c>
      <c r="C18" s="125" t="s">
        <v>1845</v>
      </c>
      <c r="D18" s="125" t="s">
        <v>1841</v>
      </c>
      <c r="E18" s="125" t="s">
        <v>1842</v>
      </c>
      <c r="F18" s="125" t="s">
        <v>85</v>
      </c>
      <c r="G18" s="127" t="s">
        <v>85</v>
      </c>
      <c r="H18" s="127" t="s">
        <v>85</v>
      </c>
      <c r="I18" s="127" t="s">
        <v>85</v>
      </c>
      <c r="J18" s="127" t="s">
        <v>85</v>
      </c>
      <c r="K18" s="138" t="s">
        <v>86</v>
      </c>
      <c r="L18" s="139" t="s">
        <v>86</v>
      </c>
      <c r="M18" s="127" t="s">
        <v>85</v>
      </c>
      <c r="N18" s="127" t="s">
        <v>85</v>
      </c>
      <c r="O18" s="127" t="s">
        <v>86</v>
      </c>
      <c r="P18" s="140" t="s">
        <v>86</v>
      </c>
      <c r="Q18" s="127" t="s">
        <v>86</v>
      </c>
    </row>
    <row r="19" spans="2:17" ht="14.25" customHeight="1">
      <c r="B19" s="125" t="s">
        <v>1847</v>
      </c>
      <c r="C19" s="125" t="s">
        <v>1838</v>
      </c>
      <c r="D19" s="125" t="s">
        <v>1838</v>
      </c>
      <c r="E19" s="125" t="s">
        <v>1839</v>
      </c>
      <c r="F19" s="125" t="s">
        <v>1838</v>
      </c>
      <c r="G19" s="127" t="s">
        <v>86</v>
      </c>
      <c r="H19" s="127" t="s">
        <v>86</v>
      </c>
      <c r="I19" s="127" t="s">
        <v>86</v>
      </c>
      <c r="J19" s="127" t="s">
        <v>86</v>
      </c>
      <c r="K19" s="138" t="s">
        <v>86</v>
      </c>
      <c r="L19" s="139" t="s">
        <v>86</v>
      </c>
      <c r="M19" s="127" t="s">
        <v>86</v>
      </c>
      <c r="N19" s="127" t="s">
        <v>86</v>
      </c>
      <c r="O19" s="127" t="s">
        <v>86</v>
      </c>
      <c r="P19" s="140" t="s">
        <v>86</v>
      </c>
      <c r="Q19" s="127" t="s">
        <v>86</v>
      </c>
    </row>
    <row r="20" spans="2:17" ht="14.25" customHeight="1">
      <c r="B20" s="125" t="s">
        <v>1847</v>
      </c>
      <c r="C20" s="125" t="s">
        <v>1840</v>
      </c>
      <c r="D20" s="125" t="s">
        <v>1841</v>
      </c>
      <c r="E20" s="125" t="s">
        <v>1842</v>
      </c>
      <c r="F20" s="125" t="s">
        <v>86</v>
      </c>
      <c r="G20" s="127" t="s">
        <v>85</v>
      </c>
      <c r="H20" s="127" t="s">
        <v>85</v>
      </c>
      <c r="I20" s="127" t="s">
        <v>85</v>
      </c>
      <c r="J20" s="127" t="s">
        <v>85</v>
      </c>
      <c r="K20" s="138" t="s">
        <v>86</v>
      </c>
      <c r="L20" s="139" t="s">
        <v>86</v>
      </c>
      <c r="M20" s="127" t="s">
        <v>85</v>
      </c>
      <c r="N20" s="127" t="s">
        <v>86</v>
      </c>
      <c r="O20" s="127" t="s">
        <v>86</v>
      </c>
      <c r="P20" s="140" t="s">
        <v>86</v>
      </c>
      <c r="Q20" s="127" t="s">
        <v>86</v>
      </c>
    </row>
    <row r="21" spans="2:17" ht="14.25" customHeight="1">
      <c r="B21" s="125" t="s">
        <v>1847</v>
      </c>
      <c r="C21" s="125" t="s">
        <v>1840</v>
      </c>
      <c r="D21" s="125" t="s">
        <v>1843</v>
      </c>
      <c r="E21" s="125" t="s">
        <v>1842</v>
      </c>
      <c r="F21" s="125" t="s">
        <v>86</v>
      </c>
      <c r="G21" s="127" t="s">
        <v>86</v>
      </c>
      <c r="H21" s="127" t="s">
        <v>86</v>
      </c>
      <c r="I21" s="127" t="s">
        <v>86</v>
      </c>
      <c r="J21" s="127" t="s">
        <v>86</v>
      </c>
      <c r="K21" s="138" t="s">
        <v>86</v>
      </c>
      <c r="L21" s="139" t="s">
        <v>86</v>
      </c>
      <c r="M21" s="127" t="s">
        <v>86</v>
      </c>
      <c r="N21" s="127" t="s">
        <v>86</v>
      </c>
      <c r="O21" s="127" t="s">
        <v>86</v>
      </c>
      <c r="P21" s="140" t="s">
        <v>86</v>
      </c>
      <c r="Q21" s="127" t="s">
        <v>86</v>
      </c>
    </row>
    <row r="22" spans="2:17" ht="14.25" customHeight="1">
      <c r="B22" s="125" t="s">
        <v>1847</v>
      </c>
      <c r="C22" s="125" t="s">
        <v>1844</v>
      </c>
      <c r="D22" s="125" t="s">
        <v>1841</v>
      </c>
      <c r="E22" s="125" t="s">
        <v>1842</v>
      </c>
      <c r="F22" s="125" t="s">
        <v>85</v>
      </c>
      <c r="G22" s="127" t="s">
        <v>85</v>
      </c>
      <c r="H22" s="127" t="s">
        <v>85</v>
      </c>
      <c r="I22" s="127" t="s">
        <v>85</v>
      </c>
      <c r="J22" s="127" t="s">
        <v>85</v>
      </c>
      <c r="K22" s="138" t="s">
        <v>86</v>
      </c>
      <c r="L22" s="139" t="s">
        <v>86</v>
      </c>
      <c r="M22" s="127" t="s">
        <v>85</v>
      </c>
      <c r="N22" s="127" t="s">
        <v>86</v>
      </c>
      <c r="O22" s="127" t="s">
        <v>85</v>
      </c>
      <c r="P22" s="140" t="s">
        <v>86</v>
      </c>
      <c r="Q22" s="127" t="s">
        <v>86</v>
      </c>
    </row>
    <row r="23" spans="2:17" ht="14.25" customHeight="1">
      <c r="B23" s="125" t="s">
        <v>1847</v>
      </c>
      <c r="C23" s="125" t="s">
        <v>1845</v>
      </c>
      <c r="D23" s="125" t="s">
        <v>1841</v>
      </c>
      <c r="E23" s="125" t="s">
        <v>1842</v>
      </c>
      <c r="F23" s="125" t="s">
        <v>85</v>
      </c>
      <c r="G23" s="127" t="s">
        <v>85</v>
      </c>
      <c r="H23" s="127" t="s">
        <v>85</v>
      </c>
      <c r="I23" s="127" t="s">
        <v>85</v>
      </c>
      <c r="J23" s="127" t="s">
        <v>85</v>
      </c>
      <c r="K23" s="138" t="s">
        <v>86</v>
      </c>
      <c r="L23" s="139" t="s">
        <v>86</v>
      </c>
      <c r="M23" s="127" t="s">
        <v>85</v>
      </c>
      <c r="N23" s="127" t="s">
        <v>85</v>
      </c>
      <c r="O23" s="127" t="s">
        <v>86</v>
      </c>
      <c r="P23" s="140" t="s">
        <v>86</v>
      </c>
      <c r="Q23" s="127" t="s">
        <v>86</v>
      </c>
    </row>
    <row r="24" spans="2:17" ht="14.25" customHeight="1">
      <c r="B24" s="125" t="s">
        <v>1848</v>
      </c>
      <c r="C24" s="125" t="s">
        <v>1844</v>
      </c>
      <c r="D24" s="125" t="s">
        <v>1849</v>
      </c>
      <c r="E24" s="125" t="s">
        <v>1838</v>
      </c>
      <c r="F24" s="125" t="s">
        <v>86</v>
      </c>
      <c r="G24" s="127" t="s">
        <v>85</v>
      </c>
      <c r="H24" s="127" t="s">
        <v>85</v>
      </c>
      <c r="I24" s="127" t="s">
        <v>85</v>
      </c>
      <c r="J24" s="127" t="s">
        <v>85</v>
      </c>
      <c r="K24" s="138" t="s">
        <v>85</v>
      </c>
      <c r="L24" s="139" t="s">
        <v>85</v>
      </c>
      <c r="M24" s="127" t="s">
        <v>85</v>
      </c>
      <c r="N24" s="127" t="s">
        <v>86</v>
      </c>
      <c r="O24" s="127" t="s">
        <v>86</v>
      </c>
      <c r="P24" s="140" t="s">
        <v>85</v>
      </c>
      <c r="Q24" s="127" t="s">
        <v>85</v>
      </c>
    </row>
    <row r="25" spans="2:17" ht="14.25" customHeight="1">
      <c r="B25" s="125" t="s">
        <v>1848</v>
      </c>
      <c r="C25" s="125" t="s">
        <v>1844</v>
      </c>
      <c r="D25" s="125" t="s">
        <v>1850</v>
      </c>
      <c r="E25" s="125" t="s">
        <v>1838</v>
      </c>
      <c r="F25" s="125" t="s">
        <v>86</v>
      </c>
      <c r="G25" s="127" t="s">
        <v>85</v>
      </c>
      <c r="H25" s="127" t="s">
        <v>85</v>
      </c>
      <c r="I25" s="127" t="s">
        <v>85</v>
      </c>
      <c r="J25" s="127" t="s">
        <v>85</v>
      </c>
      <c r="K25" s="138" t="s">
        <v>85</v>
      </c>
      <c r="L25" s="139" t="s">
        <v>85</v>
      </c>
      <c r="M25" s="127" t="s">
        <v>85</v>
      </c>
      <c r="N25" s="127" t="s">
        <v>86</v>
      </c>
      <c r="O25" s="127" t="s">
        <v>86</v>
      </c>
      <c r="P25" s="140" t="s">
        <v>86</v>
      </c>
      <c r="Q25" s="127" t="s">
        <v>85</v>
      </c>
    </row>
    <row r="26" spans="2:17" ht="14.25" customHeight="1">
      <c r="B26" s="125" t="s">
        <v>1848</v>
      </c>
      <c r="C26" s="125" t="s">
        <v>1844</v>
      </c>
      <c r="D26" s="125" t="s">
        <v>1843</v>
      </c>
      <c r="E26" s="125" t="s">
        <v>1838</v>
      </c>
      <c r="F26" s="125" t="s">
        <v>86</v>
      </c>
      <c r="G26" s="127" t="s">
        <v>86</v>
      </c>
      <c r="H26" s="127" t="s">
        <v>86</v>
      </c>
      <c r="I26" s="127" t="s">
        <v>86</v>
      </c>
      <c r="J26" s="127" t="s">
        <v>86</v>
      </c>
      <c r="K26" s="138" t="s">
        <v>85</v>
      </c>
      <c r="L26" s="139" t="s">
        <v>85</v>
      </c>
      <c r="M26" s="127" t="s">
        <v>86</v>
      </c>
      <c r="N26" s="127" t="s">
        <v>86</v>
      </c>
      <c r="O26" s="127" t="s">
        <v>86</v>
      </c>
      <c r="P26" s="140" t="s">
        <v>86</v>
      </c>
      <c r="Q26" s="127" t="s">
        <v>85</v>
      </c>
    </row>
    <row r="27" spans="2:17" ht="14.25" customHeight="1">
      <c r="B27" s="125" t="s">
        <v>1848</v>
      </c>
      <c r="C27" s="125" t="s">
        <v>1845</v>
      </c>
      <c r="D27" s="125" t="s">
        <v>1849</v>
      </c>
      <c r="E27" s="125" t="s">
        <v>1838</v>
      </c>
      <c r="F27" s="125" t="s">
        <v>86</v>
      </c>
      <c r="G27" s="127" t="s">
        <v>85</v>
      </c>
      <c r="H27" s="127" t="s">
        <v>85</v>
      </c>
      <c r="I27" s="127" t="s">
        <v>85</v>
      </c>
      <c r="J27" s="127" t="s">
        <v>85</v>
      </c>
      <c r="K27" s="138" t="s">
        <v>85</v>
      </c>
      <c r="L27" s="139" t="s">
        <v>85</v>
      </c>
      <c r="M27" s="127" t="s">
        <v>85</v>
      </c>
      <c r="N27" s="127" t="s">
        <v>86</v>
      </c>
      <c r="O27" s="127" t="s">
        <v>86</v>
      </c>
      <c r="P27" s="140" t="s">
        <v>85</v>
      </c>
      <c r="Q27" s="127" t="s">
        <v>85</v>
      </c>
    </row>
    <row r="28" spans="2:17" ht="14.25" customHeight="1">
      <c r="B28" s="125" t="s">
        <v>1848</v>
      </c>
      <c r="C28" s="125" t="s">
        <v>1845</v>
      </c>
      <c r="D28" s="125" t="s">
        <v>1850</v>
      </c>
      <c r="E28" s="125" t="s">
        <v>1838</v>
      </c>
      <c r="F28" s="125" t="s">
        <v>86</v>
      </c>
      <c r="G28" s="127" t="s">
        <v>85</v>
      </c>
      <c r="H28" s="127" t="s">
        <v>85</v>
      </c>
      <c r="I28" s="127" t="s">
        <v>85</v>
      </c>
      <c r="J28" s="127" t="s">
        <v>85</v>
      </c>
      <c r="K28" s="138" t="s">
        <v>85</v>
      </c>
      <c r="L28" s="139" t="s">
        <v>85</v>
      </c>
      <c r="M28" s="127" t="s">
        <v>85</v>
      </c>
      <c r="N28" s="127" t="s">
        <v>86</v>
      </c>
      <c r="O28" s="127" t="s">
        <v>86</v>
      </c>
      <c r="P28" s="140" t="s">
        <v>86</v>
      </c>
      <c r="Q28" s="127" t="s">
        <v>85</v>
      </c>
    </row>
    <row r="29" spans="2:17" ht="14.25" customHeight="1">
      <c r="B29" s="125" t="s">
        <v>1848</v>
      </c>
      <c r="C29" s="125" t="s">
        <v>1845</v>
      </c>
      <c r="D29" s="125" t="s">
        <v>1843</v>
      </c>
      <c r="E29" s="125" t="s">
        <v>1838</v>
      </c>
      <c r="F29" s="128" t="s">
        <v>86</v>
      </c>
      <c r="G29" s="127" t="s">
        <v>86</v>
      </c>
      <c r="H29" s="127" t="s">
        <v>86</v>
      </c>
      <c r="I29" s="127" t="s">
        <v>86</v>
      </c>
      <c r="J29" s="127" t="s">
        <v>86</v>
      </c>
      <c r="K29" s="138" t="s">
        <v>85</v>
      </c>
      <c r="L29" s="139" t="s">
        <v>85</v>
      </c>
      <c r="M29" s="127" t="s">
        <v>86</v>
      </c>
      <c r="N29" s="127" t="s">
        <v>86</v>
      </c>
      <c r="O29" s="127" t="s">
        <v>86</v>
      </c>
      <c r="P29" s="140" t="s">
        <v>86</v>
      </c>
      <c r="Q29" s="127" t="s">
        <v>85</v>
      </c>
    </row>
    <row r="30" spans="2:17" ht="14.25" customHeight="1">
      <c r="B30" s="125" t="s">
        <v>1848</v>
      </c>
      <c r="C30" s="125" t="s">
        <v>1844</v>
      </c>
      <c r="D30" s="125" t="s">
        <v>1849</v>
      </c>
      <c r="E30" s="125" t="s">
        <v>1838</v>
      </c>
      <c r="F30" s="128" t="s">
        <v>85</v>
      </c>
      <c r="G30" s="127" t="s">
        <v>85</v>
      </c>
      <c r="H30" s="127" t="s">
        <v>85</v>
      </c>
      <c r="I30" s="127" t="s">
        <v>85</v>
      </c>
      <c r="J30" s="127" t="s">
        <v>85</v>
      </c>
      <c r="K30" s="138" t="s">
        <v>85</v>
      </c>
      <c r="L30" s="139" t="s">
        <v>85</v>
      </c>
      <c r="M30" s="127" t="s">
        <v>85</v>
      </c>
      <c r="N30" s="127" t="s">
        <v>86</v>
      </c>
      <c r="O30" s="127" t="s">
        <v>85</v>
      </c>
      <c r="P30" s="140" t="s">
        <v>85</v>
      </c>
      <c r="Q30" s="127" t="s">
        <v>85</v>
      </c>
    </row>
    <row r="31" spans="2:17" ht="14.25" customHeight="1">
      <c r="B31" s="125" t="s">
        <v>1848</v>
      </c>
      <c r="C31" s="125" t="s">
        <v>1844</v>
      </c>
      <c r="D31" s="125" t="s">
        <v>1850</v>
      </c>
      <c r="E31" s="125" t="s">
        <v>1838</v>
      </c>
      <c r="F31" s="128" t="s">
        <v>85</v>
      </c>
      <c r="G31" s="127" t="s">
        <v>85</v>
      </c>
      <c r="H31" s="127" t="s">
        <v>85</v>
      </c>
      <c r="I31" s="127" t="s">
        <v>85</v>
      </c>
      <c r="J31" s="127" t="s">
        <v>85</v>
      </c>
      <c r="K31" s="138" t="s">
        <v>85</v>
      </c>
      <c r="L31" s="139" t="s">
        <v>85</v>
      </c>
      <c r="M31" s="127" t="s">
        <v>85</v>
      </c>
      <c r="N31" s="127" t="s">
        <v>86</v>
      </c>
      <c r="O31" s="127" t="s">
        <v>85</v>
      </c>
      <c r="P31" s="140" t="s">
        <v>86</v>
      </c>
      <c r="Q31" s="127" t="s">
        <v>85</v>
      </c>
    </row>
    <row r="32" spans="2:17" ht="14.25" customHeight="1">
      <c r="B32" s="125" t="s">
        <v>1848</v>
      </c>
      <c r="C32" s="125" t="s">
        <v>1844</v>
      </c>
      <c r="D32" s="125" t="s">
        <v>1843</v>
      </c>
      <c r="E32" s="125" t="s">
        <v>1838</v>
      </c>
      <c r="F32" s="128" t="s">
        <v>85</v>
      </c>
      <c r="G32" s="127" t="s">
        <v>85</v>
      </c>
      <c r="H32" s="127" t="s">
        <v>85</v>
      </c>
      <c r="I32" s="127" t="s">
        <v>85</v>
      </c>
      <c r="J32" s="127" t="s">
        <v>85</v>
      </c>
      <c r="K32" s="138" t="s">
        <v>85</v>
      </c>
      <c r="L32" s="139" t="s">
        <v>85</v>
      </c>
      <c r="M32" s="127" t="s">
        <v>85</v>
      </c>
      <c r="N32" s="127" t="s">
        <v>86</v>
      </c>
      <c r="O32" s="127" t="s">
        <v>85</v>
      </c>
      <c r="P32" s="140" t="s">
        <v>86</v>
      </c>
      <c r="Q32" s="127" t="s">
        <v>85</v>
      </c>
    </row>
    <row r="33" spans="1:18" ht="14.25" customHeight="1">
      <c r="B33" s="125" t="s">
        <v>1848</v>
      </c>
      <c r="C33" s="125" t="s">
        <v>1845</v>
      </c>
      <c r="D33" s="125" t="s">
        <v>1849</v>
      </c>
      <c r="E33" s="125" t="s">
        <v>1838</v>
      </c>
      <c r="F33" s="128" t="s">
        <v>85</v>
      </c>
      <c r="G33" s="127" t="s">
        <v>85</v>
      </c>
      <c r="H33" s="127" t="s">
        <v>85</v>
      </c>
      <c r="I33" s="127" t="s">
        <v>85</v>
      </c>
      <c r="J33" s="127" t="s">
        <v>85</v>
      </c>
      <c r="K33" s="138" t="s">
        <v>85</v>
      </c>
      <c r="L33" s="139" t="s">
        <v>85</v>
      </c>
      <c r="M33" s="127" t="s">
        <v>85</v>
      </c>
      <c r="N33" s="127" t="s">
        <v>85</v>
      </c>
      <c r="O33" s="127" t="s">
        <v>86</v>
      </c>
      <c r="P33" s="140" t="s">
        <v>85</v>
      </c>
      <c r="Q33" s="127" t="s">
        <v>85</v>
      </c>
    </row>
    <row r="34" spans="1:18" ht="14.25" customHeight="1">
      <c r="B34" s="125" t="s">
        <v>1848</v>
      </c>
      <c r="C34" s="125" t="s">
        <v>1845</v>
      </c>
      <c r="D34" s="125" t="s">
        <v>1850</v>
      </c>
      <c r="E34" s="125" t="s">
        <v>1838</v>
      </c>
      <c r="F34" s="128" t="s">
        <v>85</v>
      </c>
      <c r="G34" s="127" t="s">
        <v>85</v>
      </c>
      <c r="H34" s="127" t="s">
        <v>85</v>
      </c>
      <c r="I34" s="127" t="s">
        <v>85</v>
      </c>
      <c r="J34" s="127" t="s">
        <v>85</v>
      </c>
      <c r="K34" s="138" t="s">
        <v>85</v>
      </c>
      <c r="L34" s="139" t="s">
        <v>85</v>
      </c>
      <c r="M34" s="127" t="s">
        <v>85</v>
      </c>
      <c r="N34" s="127" t="s">
        <v>85</v>
      </c>
      <c r="O34" s="127" t="s">
        <v>86</v>
      </c>
      <c r="P34" s="140" t="s">
        <v>86</v>
      </c>
      <c r="Q34" s="127" t="s">
        <v>85</v>
      </c>
    </row>
    <row r="35" spans="1:18" ht="14.25" customHeight="1">
      <c r="B35" s="125" t="s">
        <v>1848</v>
      </c>
      <c r="C35" s="125" t="s">
        <v>1845</v>
      </c>
      <c r="D35" s="125" t="s">
        <v>1843</v>
      </c>
      <c r="E35" s="125" t="s">
        <v>1838</v>
      </c>
      <c r="F35" s="128" t="s">
        <v>85</v>
      </c>
      <c r="G35" s="127" t="s">
        <v>85</v>
      </c>
      <c r="H35" s="127" t="s">
        <v>85</v>
      </c>
      <c r="I35" s="127" t="s">
        <v>85</v>
      </c>
      <c r="J35" s="127" t="s">
        <v>85</v>
      </c>
      <c r="K35" s="138" t="s">
        <v>85</v>
      </c>
      <c r="L35" s="139" t="s">
        <v>85</v>
      </c>
      <c r="M35" s="127" t="s">
        <v>85</v>
      </c>
      <c r="N35" s="127" t="s">
        <v>85</v>
      </c>
      <c r="O35" s="127" t="s">
        <v>86</v>
      </c>
      <c r="P35" s="140" t="s">
        <v>86</v>
      </c>
      <c r="Q35" s="127" t="s">
        <v>85</v>
      </c>
    </row>
    <row r="36" spans="1:18" ht="14.25" customHeight="1">
      <c r="B36" s="125" t="s">
        <v>1851</v>
      </c>
      <c r="C36" s="125" t="s">
        <v>1844</v>
      </c>
      <c r="D36" s="125" t="s">
        <v>1841</v>
      </c>
      <c r="E36" s="125" t="s">
        <v>1838</v>
      </c>
      <c r="F36" s="128" t="s">
        <v>86</v>
      </c>
      <c r="G36" s="127" t="s">
        <v>85</v>
      </c>
      <c r="H36" s="127" t="s">
        <v>85</v>
      </c>
      <c r="I36" s="127" t="s">
        <v>85</v>
      </c>
      <c r="J36" s="127" t="s">
        <v>85</v>
      </c>
      <c r="K36" s="138" t="s">
        <v>85</v>
      </c>
      <c r="L36" s="139" t="s">
        <v>85</v>
      </c>
      <c r="M36" s="127" t="s">
        <v>85</v>
      </c>
      <c r="N36" s="127" t="s">
        <v>86</v>
      </c>
      <c r="O36" s="127" t="s">
        <v>86</v>
      </c>
      <c r="P36" s="140" t="s">
        <v>85</v>
      </c>
      <c r="Q36" s="127" t="s">
        <v>85</v>
      </c>
    </row>
    <row r="37" spans="1:18" ht="14.25" customHeight="1">
      <c r="B37" s="125" t="s">
        <v>1851</v>
      </c>
      <c r="C37" s="125" t="s">
        <v>1844</v>
      </c>
      <c r="D37" s="125" t="s">
        <v>1843</v>
      </c>
      <c r="E37" s="125" t="s">
        <v>1838</v>
      </c>
      <c r="F37" s="128" t="s">
        <v>86</v>
      </c>
      <c r="G37" s="127" t="s">
        <v>86</v>
      </c>
      <c r="H37" s="127" t="s">
        <v>86</v>
      </c>
      <c r="I37" s="127" t="s">
        <v>86</v>
      </c>
      <c r="J37" s="127" t="s">
        <v>86</v>
      </c>
      <c r="K37" s="138" t="s">
        <v>85</v>
      </c>
      <c r="L37" s="139" t="s">
        <v>85</v>
      </c>
      <c r="M37" s="127" t="s">
        <v>86</v>
      </c>
      <c r="N37" s="127" t="s">
        <v>86</v>
      </c>
      <c r="O37" s="127" t="s">
        <v>86</v>
      </c>
      <c r="P37" s="140" t="s">
        <v>85</v>
      </c>
      <c r="Q37" s="127" t="s">
        <v>85</v>
      </c>
    </row>
    <row r="38" spans="1:18" ht="14.25" customHeight="1">
      <c r="B38" s="125" t="s">
        <v>1851</v>
      </c>
      <c r="C38" s="125" t="s">
        <v>1845</v>
      </c>
      <c r="D38" s="125" t="s">
        <v>1841</v>
      </c>
      <c r="E38" s="125" t="s">
        <v>1838</v>
      </c>
      <c r="F38" s="128" t="s">
        <v>86</v>
      </c>
      <c r="G38" s="127" t="s">
        <v>85</v>
      </c>
      <c r="H38" s="127" t="s">
        <v>85</v>
      </c>
      <c r="I38" s="127" t="s">
        <v>85</v>
      </c>
      <c r="J38" s="127" t="s">
        <v>85</v>
      </c>
      <c r="K38" s="138" t="s">
        <v>85</v>
      </c>
      <c r="L38" s="139" t="s">
        <v>85</v>
      </c>
      <c r="M38" s="127" t="s">
        <v>85</v>
      </c>
      <c r="N38" s="127" t="s">
        <v>86</v>
      </c>
      <c r="O38" s="127" t="s">
        <v>86</v>
      </c>
      <c r="P38" s="140" t="s">
        <v>85</v>
      </c>
      <c r="Q38" s="127" t="s">
        <v>85</v>
      </c>
    </row>
    <row r="39" spans="1:18" ht="14.25" customHeight="1">
      <c r="B39" s="125" t="s">
        <v>1851</v>
      </c>
      <c r="C39" s="125" t="s">
        <v>1845</v>
      </c>
      <c r="D39" s="125" t="s">
        <v>1843</v>
      </c>
      <c r="E39" s="125" t="s">
        <v>1838</v>
      </c>
      <c r="F39" s="128" t="s">
        <v>86</v>
      </c>
      <c r="G39" s="127" t="s">
        <v>86</v>
      </c>
      <c r="H39" s="127" t="s">
        <v>86</v>
      </c>
      <c r="I39" s="127" t="s">
        <v>86</v>
      </c>
      <c r="J39" s="127" t="s">
        <v>86</v>
      </c>
      <c r="K39" s="138" t="s">
        <v>85</v>
      </c>
      <c r="L39" s="139" t="s">
        <v>85</v>
      </c>
      <c r="M39" s="127" t="s">
        <v>86</v>
      </c>
      <c r="N39" s="127" t="s">
        <v>86</v>
      </c>
      <c r="O39" s="127" t="s">
        <v>86</v>
      </c>
      <c r="P39" s="140" t="s">
        <v>85</v>
      </c>
      <c r="Q39" s="127" t="s">
        <v>85</v>
      </c>
    </row>
    <row r="40" spans="1:18" ht="14.25" customHeight="1">
      <c r="B40" s="125" t="s">
        <v>1851</v>
      </c>
      <c r="C40" s="125" t="s">
        <v>1844</v>
      </c>
      <c r="D40" s="125" t="s">
        <v>1841</v>
      </c>
      <c r="E40" s="125" t="s">
        <v>1838</v>
      </c>
      <c r="F40" s="128" t="s">
        <v>85</v>
      </c>
      <c r="G40" s="127" t="s">
        <v>85</v>
      </c>
      <c r="H40" s="127" t="s">
        <v>85</v>
      </c>
      <c r="I40" s="127" t="s">
        <v>85</v>
      </c>
      <c r="J40" s="127" t="s">
        <v>85</v>
      </c>
      <c r="K40" s="138" t="s">
        <v>85</v>
      </c>
      <c r="L40" s="139" t="s">
        <v>85</v>
      </c>
      <c r="M40" s="127" t="s">
        <v>85</v>
      </c>
      <c r="N40" s="127" t="s">
        <v>86</v>
      </c>
      <c r="O40" s="127" t="s">
        <v>85</v>
      </c>
      <c r="P40" s="140" t="s">
        <v>85</v>
      </c>
      <c r="Q40" s="127" t="s">
        <v>85</v>
      </c>
    </row>
    <row r="41" spans="1:18" ht="14.25" customHeight="1">
      <c r="B41" s="125" t="s">
        <v>1851</v>
      </c>
      <c r="C41" s="125" t="s">
        <v>1844</v>
      </c>
      <c r="D41" s="125" t="s">
        <v>1843</v>
      </c>
      <c r="E41" s="125" t="s">
        <v>1838</v>
      </c>
      <c r="F41" s="128" t="s">
        <v>85</v>
      </c>
      <c r="G41" s="127" t="s">
        <v>85</v>
      </c>
      <c r="H41" s="127" t="s">
        <v>85</v>
      </c>
      <c r="I41" s="127" t="s">
        <v>85</v>
      </c>
      <c r="J41" s="127" t="s">
        <v>85</v>
      </c>
      <c r="K41" s="138" t="s">
        <v>85</v>
      </c>
      <c r="L41" s="139" t="s">
        <v>85</v>
      </c>
      <c r="M41" s="127" t="s">
        <v>85</v>
      </c>
      <c r="N41" s="127" t="s">
        <v>86</v>
      </c>
      <c r="O41" s="127" t="s">
        <v>85</v>
      </c>
      <c r="P41" s="140" t="s">
        <v>85</v>
      </c>
      <c r="Q41" s="127" t="s">
        <v>85</v>
      </c>
    </row>
    <row r="42" spans="1:18" ht="14.25" customHeight="1">
      <c r="B42" s="125" t="s">
        <v>1851</v>
      </c>
      <c r="C42" s="125" t="s">
        <v>1845</v>
      </c>
      <c r="D42" s="125" t="s">
        <v>1841</v>
      </c>
      <c r="E42" s="125" t="s">
        <v>1838</v>
      </c>
      <c r="F42" s="128" t="s">
        <v>85</v>
      </c>
      <c r="G42" s="127" t="s">
        <v>85</v>
      </c>
      <c r="H42" s="127" t="s">
        <v>85</v>
      </c>
      <c r="I42" s="127" t="s">
        <v>85</v>
      </c>
      <c r="J42" s="127" t="s">
        <v>85</v>
      </c>
      <c r="K42" s="138" t="s">
        <v>85</v>
      </c>
      <c r="L42" s="139" t="s">
        <v>85</v>
      </c>
      <c r="M42" s="127" t="s">
        <v>85</v>
      </c>
      <c r="N42" s="127" t="s">
        <v>85</v>
      </c>
      <c r="O42" s="127" t="s">
        <v>86</v>
      </c>
      <c r="P42" s="140" t="s">
        <v>85</v>
      </c>
      <c r="Q42" s="127" t="s">
        <v>85</v>
      </c>
    </row>
    <row r="43" spans="1:18" ht="14.25" customHeight="1">
      <c r="B43" s="125" t="s">
        <v>1851</v>
      </c>
      <c r="C43" s="125" t="s">
        <v>1845</v>
      </c>
      <c r="D43" s="125" t="s">
        <v>1843</v>
      </c>
      <c r="E43" s="125" t="s">
        <v>1838</v>
      </c>
      <c r="F43" s="128" t="s">
        <v>85</v>
      </c>
      <c r="G43" s="127" t="s">
        <v>85</v>
      </c>
      <c r="H43" s="127" t="s">
        <v>85</v>
      </c>
      <c r="I43" s="127" t="s">
        <v>85</v>
      </c>
      <c r="J43" s="127" t="s">
        <v>85</v>
      </c>
      <c r="K43" s="138" t="s">
        <v>85</v>
      </c>
      <c r="L43" s="139" t="s">
        <v>85</v>
      </c>
      <c r="M43" s="127" t="s">
        <v>85</v>
      </c>
      <c r="N43" s="127" t="s">
        <v>85</v>
      </c>
      <c r="O43" s="127" t="s">
        <v>86</v>
      </c>
      <c r="P43" s="140" t="s">
        <v>85</v>
      </c>
      <c r="Q43" s="127" t="s">
        <v>85</v>
      </c>
    </row>
    <row r="44" spans="1:18" ht="14.25" customHeight="1">
      <c r="B44" s="125" t="s">
        <v>1852</v>
      </c>
      <c r="C44" s="125" t="s">
        <v>1840</v>
      </c>
      <c r="D44" s="125" t="s">
        <v>1841</v>
      </c>
      <c r="E44" s="125" t="s">
        <v>1838</v>
      </c>
      <c r="F44" s="128" t="s">
        <v>86</v>
      </c>
      <c r="G44" s="127" t="s">
        <v>85</v>
      </c>
      <c r="H44" s="127" t="s">
        <v>85</v>
      </c>
      <c r="I44" s="127" t="s">
        <v>85</v>
      </c>
      <c r="J44" s="127" t="s">
        <v>85</v>
      </c>
      <c r="K44" s="138" t="s">
        <v>85</v>
      </c>
      <c r="L44" s="139" t="s">
        <v>85</v>
      </c>
      <c r="M44" s="127" t="s">
        <v>85</v>
      </c>
      <c r="N44" s="127" t="s">
        <v>86</v>
      </c>
      <c r="O44" s="127" t="s">
        <v>86</v>
      </c>
      <c r="P44" s="140" t="s">
        <v>85</v>
      </c>
      <c r="Q44" s="127" t="s">
        <v>85</v>
      </c>
    </row>
    <row r="45" spans="1:18" ht="14.25" customHeight="1">
      <c r="B45" s="125" t="s">
        <v>1852</v>
      </c>
      <c r="C45" s="125" t="s">
        <v>1840</v>
      </c>
      <c r="D45" s="125" t="s">
        <v>1843</v>
      </c>
      <c r="E45" s="125" t="s">
        <v>1838</v>
      </c>
      <c r="F45" s="128" t="s">
        <v>86</v>
      </c>
      <c r="G45" s="127" t="s">
        <v>86</v>
      </c>
      <c r="H45" s="127" t="s">
        <v>86</v>
      </c>
      <c r="I45" s="127" t="s">
        <v>86</v>
      </c>
      <c r="J45" s="127" t="s">
        <v>86</v>
      </c>
      <c r="K45" s="138" t="s">
        <v>85</v>
      </c>
      <c r="L45" s="139" t="s">
        <v>85</v>
      </c>
      <c r="M45" s="127" t="s">
        <v>86</v>
      </c>
      <c r="N45" s="127" t="s">
        <v>86</v>
      </c>
      <c r="O45" s="127" t="s">
        <v>86</v>
      </c>
      <c r="P45" s="140" t="s">
        <v>85</v>
      </c>
      <c r="Q45" s="127" t="s">
        <v>86</v>
      </c>
    </row>
    <row r="46" spans="1:18" ht="14.25" customHeight="1">
      <c r="B46" s="125" t="s">
        <v>1852</v>
      </c>
      <c r="C46" s="125" t="s">
        <v>1840</v>
      </c>
      <c r="D46" s="125" t="s">
        <v>1841</v>
      </c>
      <c r="E46" s="125" t="s">
        <v>1838</v>
      </c>
      <c r="F46" s="128" t="s">
        <v>85</v>
      </c>
      <c r="G46" s="127" t="s">
        <v>85</v>
      </c>
      <c r="H46" s="127" t="s">
        <v>85</v>
      </c>
      <c r="I46" s="127" t="s">
        <v>85</v>
      </c>
      <c r="J46" s="127" t="s">
        <v>85</v>
      </c>
      <c r="K46" s="138" t="s">
        <v>85</v>
      </c>
      <c r="L46" s="139" t="s">
        <v>85</v>
      </c>
      <c r="M46" s="127" t="s">
        <v>85</v>
      </c>
      <c r="N46" s="127" t="s">
        <v>86</v>
      </c>
      <c r="O46" s="127" t="s">
        <v>85</v>
      </c>
      <c r="P46" s="140" t="s">
        <v>85</v>
      </c>
      <c r="Q46" s="127" t="s">
        <v>85</v>
      </c>
    </row>
    <row r="47" spans="1:18" ht="14.25" customHeight="1">
      <c r="B47" s="125" t="s">
        <v>1852</v>
      </c>
      <c r="C47" s="125" t="s">
        <v>1840</v>
      </c>
      <c r="D47" s="125" t="s">
        <v>1843</v>
      </c>
      <c r="E47" s="125" t="s">
        <v>1838</v>
      </c>
      <c r="F47" s="128" t="s">
        <v>85</v>
      </c>
      <c r="G47" s="127" t="s">
        <v>85</v>
      </c>
      <c r="H47" s="127" t="s">
        <v>85</v>
      </c>
      <c r="I47" s="127" t="s">
        <v>85</v>
      </c>
      <c r="J47" s="127" t="s">
        <v>85</v>
      </c>
      <c r="K47" s="138" t="s">
        <v>85</v>
      </c>
      <c r="L47" s="139" t="s">
        <v>85</v>
      </c>
      <c r="M47" s="127" t="s">
        <v>85</v>
      </c>
      <c r="N47" s="127" t="s">
        <v>86</v>
      </c>
      <c r="O47" s="127" t="s">
        <v>85</v>
      </c>
      <c r="P47" s="140" t="s">
        <v>85</v>
      </c>
      <c r="Q47" s="127" t="s">
        <v>86</v>
      </c>
    </row>
    <row r="48" spans="1:18" ht="13.8">
      <c r="A48" s="414"/>
      <c r="B48" s="415"/>
      <c r="C48" s="415"/>
      <c r="D48" s="415"/>
      <c r="E48" s="415"/>
      <c r="F48" s="415"/>
      <c r="G48" s="416"/>
      <c r="H48" s="416"/>
      <c r="I48" s="416"/>
      <c r="J48" s="416"/>
      <c r="K48" s="416"/>
      <c r="L48" s="416"/>
      <c r="M48" s="416"/>
      <c r="N48" s="416"/>
      <c r="O48" s="416"/>
      <c r="P48" s="416"/>
      <c r="Q48" s="416"/>
      <c r="R48" s="414"/>
    </row>
  </sheetData>
  <sheetProtection algorithmName="SHA-512" hashValue="Vektc2Ialbxu2ygO5yYg8SJa8F0K4RG9HJgMze0C6pYMPqrzivaf8J6sgQ/PARfxboopCgRP9qXgH9byn+VC5w==" saltValue="rY28pFdaQnWdzBEDlHpB2g==" spinCount="100000" sheet="1" objects="1" scenarios="1"/>
  <mergeCells count="3">
    <mergeCell ref="K7:L7"/>
    <mergeCell ref="B5:F6"/>
    <mergeCell ref="G5:Q6"/>
  </mergeCells>
  <pageMargins left="0.23622047244094488" right="0.23622047244094488" top="0.39370078740157483" bottom="0.39370078740157483" header="0.31496062992125984" footer="0.31496062992125984"/>
  <pageSetup paperSize="9" scale="61"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316</vt:i4>
      </vt:variant>
    </vt:vector>
  </HeadingPairs>
  <TitlesOfParts>
    <vt:vector size="328" baseType="lpstr">
      <vt:lpstr>Summary</vt:lpstr>
      <vt:lpstr>Vessel</vt:lpstr>
      <vt:lpstr>Voyage</vt:lpstr>
      <vt:lpstr>Waste</vt:lpstr>
      <vt:lpstr>Incoming Hazmat</vt:lpstr>
      <vt:lpstr>Outgoing Hazmat</vt:lpstr>
      <vt:lpstr>Security</vt:lpstr>
      <vt:lpstr>Notes</vt:lpstr>
      <vt:lpstr>Reporting Requirements</vt:lpstr>
      <vt:lpstr>Tmp data</vt:lpstr>
      <vt:lpstr>Reference data</vt:lpstr>
      <vt:lpstr>Validator</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IHZ_CON_EMAIL</vt:lpstr>
      <vt:lpstr>IHZ_CON_FAX</vt:lpstr>
      <vt:lpstr>IHZ_CON_FIRSTNAME</vt:lpstr>
      <vt:lpstr>IHZ_CON_LASTNAME</vt:lpstr>
      <vt:lpstr>IHZ_CON_LOCODE</vt:lpstr>
      <vt:lpstr>IHZ_CON_PHONE</vt:lpstr>
      <vt:lpstr>IHZ_DEC_VALID</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MARPOL_codes</vt:lpstr>
      <vt:lpstr>OHZ_CON_EMAIL</vt:lpstr>
      <vt:lpstr>OHZ_CON_FAX</vt:lpstr>
      <vt:lpstr>OHZ_CON_FIRSTNAME</vt:lpstr>
      <vt:lpstr>OHZ_CON_LASTNAME</vt:lpstr>
      <vt:lpstr>OHZ_CON_LOCODE</vt:lpstr>
      <vt:lpstr>OHZ_CON_PHONE</vt:lpstr>
      <vt:lpstr>OHZ_DEC_VALID</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'Incoming Hazmat'!Print_Area</vt:lpstr>
      <vt:lpstr>Notes!Print_Area</vt:lpstr>
      <vt:lpstr>'Outgoing Hazmat'!Print_Area</vt:lpstr>
      <vt:lpstr>'Reporting Requirements'!Print_Area</vt:lpstr>
      <vt:lpstr>Security!Print_Area</vt:lpstr>
      <vt:lpstr>Summary!Print_Area</vt:lpstr>
      <vt:lpstr>Vessel!Print_Area</vt:lpstr>
      <vt:lpstr>Voyage!Print_Area</vt:lpstr>
      <vt:lpstr>Waste!Print_Area</vt:lpstr>
      <vt:lpstr>REF_ACTIVITY</vt:lpstr>
      <vt:lpstr>'Outgoing Hazmat'!REF_COUNTRIES</vt:lpstr>
      <vt:lpstr>REF_COUNTRIES</vt:lpstr>
      <vt:lpstr>REF_DG_CLASSIFICATION</vt:lpstr>
      <vt:lpstr>REF_DOCTYPES</vt:lpstr>
      <vt:lpstr>REF_ISSUER_TYPE</vt:lpstr>
      <vt:lpstr>REF_PACKING_GROUP</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SEC_DEC_VALID</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SUM_INCLUDE_IHZ</vt:lpstr>
      <vt:lpstr>SUM_INCLUDE_OHZ</vt:lpstr>
      <vt:lpstr>SUM_INCLUDE_SEC</vt:lpstr>
      <vt:lpstr>SUM_INCLUDE_VES</vt:lpstr>
      <vt:lpstr>SUM_INCLUDE_VOY</vt:lpstr>
      <vt:lpstr>SUM_INCLUDE_WAS</vt:lpstr>
      <vt:lpstr>SUM_OVE_VALID</vt:lpstr>
      <vt:lpstr>SUM_OVR_RES</vt:lpstr>
      <vt:lpstr>SUM_SRC_SOURCE</vt:lpstr>
      <vt:lpstr>SUM_SRC_UPDATED</vt:lpstr>
      <vt:lpstr>TMP_SUM_ALLOW</vt:lpstr>
      <vt:lpstr>TMP_SUM_WRITEVALID</vt:lpstr>
      <vt:lpstr>TMP_VDE_REGPORT</vt:lpstr>
      <vt:lpstr>TMP_VOY_LASTPORT</vt:lpstr>
      <vt:lpstr>TMP_VOY_NEXTPORT</vt:lpstr>
      <vt:lpstr>TMP_VOY_PORTOFCALL</vt:lpstr>
      <vt:lpstr>UKPORT</vt:lpstr>
      <vt:lpstr>Units_description</vt:lpstr>
      <vt:lpstr>VES_DEC_VALID</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VOY_DEC_VALID</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WAS_DEC_VALID</vt:lpstr>
      <vt:lpstr>WAS_DOC_KEY</vt:lpstr>
      <vt:lpstr>WAS_EMPTY_RES</vt:lpstr>
      <vt:lpstr>WAS_ITE_CATEGORY</vt:lpstr>
      <vt:lpstr>WAS_ITE_DELIVERED</vt:lpstr>
      <vt:lpstr>WAS_ITE_DELIVEREDU</vt:lpstr>
      <vt:lpstr>WAS_ITE_GENERATED</vt:lpstr>
      <vt:lpstr>WAS_ITE_GENERATEDU</vt:lpstr>
      <vt:lpstr>WAS_ITE_ITEMNO</vt:lpstr>
      <vt:lpstr>WAS_ITE_MAXSTORAG</vt:lpstr>
      <vt:lpstr>WAS_ITE_MAXSTORAGU</vt:lpstr>
      <vt:lpstr>WAS_ITE_REMAINING</vt:lpstr>
      <vt:lpstr>WAS_ITE_RETAINED</vt:lpstr>
      <vt:lpstr>WAS_ITE_RETAINEDU</vt:lpstr>
      <vt:lpstr>WAS_ITE_TYPE</vt:lpstr>
      <vt:lpstr>WAS_ITE_TYPECODE</vt:lpstr>
      <vt:lpstr>WAS_ITE_TYPEDESCRI</vt:lpstr>
      <vt:lpstr>WAS_LOC_LATITUDE</vt:lpstr>
      <vt:lpstr>WAS_LOC_LOCNAME</vt:lpstr>
      <vt:lpstr>WAS_LOC_LOCODE</vt:lpstr>
      <vt:lpstr>WAS_LOC_LONGITUDE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watchkeeper1</cp:lastModifiedBy>
  <cp:lastPrinted>2016-12-22T12:07:20Z</cp:lastPrinted>
  <dcterms:created xsi:type="dcterms:W3CDTF">2016-01-11T13:31:53Z</dcterms:created>
  <dcterms:modified xsi:type="dcterms:W3CDTF">2018-09-29T21:12:02Z</dcterms:modified>
</cp:coreProperties>
</file>